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strow.THIRDWAY\Documents\"/>
    </mc:Choice>
  </mc:AlternateContent>
  <xr:revisionPtr revIDLastSave="0" documentId="8_{AF0101FB-A078-4A9F-A2B3-FFE1D2043F37}" xr6:coauthVersionLast="47" xr6:coauthVersionMax="47" xr10:uidLastSave="{00000000-0000-0000-0000-000000000000}"/>
  <bookViews>
    <workbookView xWindow="-110" yWindow="-110" windowWidth="19420" windowHeight="10420" xr2:uid="{2671ADB4-53AC-4C76-B20D-94DB032227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8" i="1" l="1"/>
  <c r="C268" i="1"/>
  <c r="D268" i="1"/>
  <c r="E268" i="1"/>
  <c r="G268" i="1"/>
  <c r="H268" i="1"/>
  <c r="I268" i="1"/>
  <c r="J268" i="1"/>
  <c r="B269" i="1"/>
  <c r="C269" i="1"/>
  <c r="D269" i="1"/>
  <c r="E269" i="1"/>
  <c r="G269" i="1"/>
  <c r="H269" i="1"/>
  <c r="I269" i="1"/>
  <c r="J269" i="1"/>
  <c r="J284" i="1"/>
  <c r="I284" i="1"/>
  <c r="H284" i="1"/>
  <c r="G284" i="1"/>
  <c r="E284" i="1"/>
  <c r="D284" i="1"/>
  <c r="C284" i="1"/>
  <c r="B284" i="1"/>
  <c r="J283" i="1"/>
  <c r="I283" i="1"/>
  <c r="H283" i="1"/>
  <c r="G283" i="1"/>
  <c r="E283" i="1"/>
  <c r="D283" i="1"/>
  <c r="C283" i="1"/>
  <c r="B283" i="1"/>
  <c r="J282" i="1"/>
  <c r="I282" i="1"/>
  <c r="H282" i="1"/>
  <c r="G282" i="1"/>
  <c r="E282" i="1"/>
  <c r="D282" i="1"/>
  <c r="C282" i="1"/>
  <c r="B282" i="1"/>
  <c r="J281" i="1"/>
  <c r="I281" i="1"/>
  <c r="H281" i="1"/>
  <c r="G281" i="1"/>
  <c r="E281" i="1"/>
  <c r="D281" i="1"/>
  <c r="C281" i="1"/>
  <c r="B281" i="1"/>
  <c r="J280" i="1"/>
  <c r="I280" i="1"/>
  <c r="H280" i="1"/>
  <c r="G280" i="1"/>
  <c r="E280" i="1"/>
  <c r="D280" i="1"/>
  <c r="C280" i="1"/>
  <c r="B280" i="1"/>
  <c r="J279" i="1"/>
  <c r="I279" i="1"/>
  <c r="H279" i="1"/>
  <c r="G279" i="1"/>
  <c r="E279" i="1"/>
  <c r="D279" i="1"/>
  <c r="B279" i="1"/>
  <c r="J278" i="1"/>
  <c r="I278" i="1"/>
  <c r="H278" i="1"/>
  <c r="G278" i="1"/>
  <c r="E278" i="1"/>
  <c r="D278" i="1"/>
  <c r="B278" i="1"/>
  <c r="J277" i="1"/>
  <c r="I277" i="1"/>
  <c r="H277" i="1"/>
  <c r="G277" i="1"/>
  <c r="E277" i="1"/>
  <c r="D277" i="1"/>
  <c r="B277" i="1"/>
  <c r="J276" i="1"/>
  <c r="I276" i="1"/>
  <c r="H276" i="1"/>
  <c r="G276" i="1"/>
  <c r="E276" i="1"/>
  <c r="D276" i="1"/>
  <c r="C276" i="1"/>
  <c r="B276" i="1"/>
  <c r="J275" i="1"/>
  <c r="I275" i="1"/>
  <c r="H275" i="1"/>
  <c r="G275" i="1"/>
  <c r="E275" i="1"/>
  <c r="D275" i="1"/>
  <c r="C275" i="1"/>
  <c r="B275" i="1"/>
  <c r="J274" i="1"/>
  <c r="I274" i="1"/>
  <c r="H274" i="1"/>
  <c r="G274" i="1"/>
  <c r="E274" i="1"/>
  <c r="D274" i="1"/>
  <c r="C274" i="1"/>
  <c r="B274" i="1"/>
  <c r="J273" i="1"/>
  <c r="I273" i="1"/>
  <c r="H273" i="1"/>
  <c r="G273" i="1"/>
  <c r="E273" i="1"/>
  <c r="D273" i="1"/>
  <c r="C273" i="1"/>
  <c r="B273" i="1"/>
  <c r="J272" i="1"/>
  <c r="I272" i="1"/>
  <c r="H272" i="1"/>
  <c r="G272" i="1"/>
  <c r="E272" i="1"/>
  <c r="D272" i="1"/>
  <c r="C272" i="1"/>
  <c r="B272" i="1"/>
  <c r="J271" i="1"/>
  <c r="I271" i="1"/>
  <c r="H271" i="1"/>
  <c r="G271" i="1"/>
  <c r="E271" i="1"/>
  <c r="D271" i="1"/>
  <c r="C271" i="1"/>
  <c r="B271" i="1"/>
  <c r="J270" i="1"/>
  <c r="I270" i="1"/>
  <c r="H270" i="1"/>
  <c r="G270" i="1"/>
  <c r="E270" i="1"/>
  <c r="D270" i="1"/>
  <c r="C270" i="1"/>
  <c r="B270" i="1"/>
  <c r="J89" i="1"/>
  <c r="I89" i="1"/>
  <c r="H89" i="1"/>
  <c r="G89" i="1"/>
  <c r="E89" i="1"/>
  <c r="D89" i="1"/>
  <c r="C89" i="1"/>
  <c r="B89" i="1"/>
  <c r="J88" i="1"/>
  <c r="I88" i="1"/>
  <c r="H88" i="1"/>
  <c r="G88" i="1"/>
  <c r="E88" i="1"/>
  <c r="D88" i="1"/>
  <c r="C88" i="1"/>
  <c r="B88" i="1"/>
  <c r="J76" i="1"/>
  <c r="I76" i="1"/>
  <c r="H76" i="1"/>
  <c r="G76" i="1"/>
  <c r="E76" i="1"/>
  <c r="D76" i="1"/>
  <c r="C76" i="1"/>
  <c r="B76" i="1"/>
  <c r="J75" i="1"/>
  <c r="I75" i="1"/>
  <c r="H75" i="1"/>
  <c r="G75" i="1"/>
  <c r="E75" i="1"/>
  <c r="D75" i="1"/>
  <c r="C75" i="1"/>
  <c r="B75" i="1"/>
  <c r="J74" i="1"/>
  <c r="I74" i="1"/>
  <c r="H74" i="1"/>
  <c r="G74" i="1"/>
  <c r="E74" i="1"/>
  <c r="D74" i="1"/>
  <c r="C74" i="1"/>
  <c r="B74" i="1"/>
  <c r="J68" i="1"/>
  <c r="I68" i="1"/>
  <c r="H68" i="1"/>
  <c r="G68" i="1"/>
  <c r="E68" i="1"/>
  <c r="D68" i="1"/>
  <c r="C68" i="1"/>
  <c r="B68" i="1"/>
  <c r="J67" i="1"/>
  <c r="I67" i="1"/>
  <c r="H67" i="1"/>
  <c r="G67" i="1"/>
  <c r="E67" i="1"/>
  <c r="D67" i="1"/>
  <c r="C67" i="1"/>
  <c r="B67" i="1"/>
  <c r="J66" i="1"/>
  <c r="I66" i="1"/>
  <c r="H66" i="1"/>
  <c r="G66" i="1"/>
  <c r="E66" i="1"/>
  <c r="D66" i="1"/>
  <c r="C66" i="1"/>
  <c r="B66" i="1"/>
  <c r="J65" i="1"/>
  <c r="I65" i="1"/>
  <c r="H65" i="1"/>
  <c r="G65" i="1"/>
  <c r="E65" i="1"/>
  <c r="D65" i="1"/>
  <c r="C65" i="1"/>
  <c r="B65" i="1"/>
  <c r="J64" i="1"/>
  <c r="I64" i="1"/>
  <c r="H64" i="1"/>
  <c r="G64" i="1"/>
  <c r="E64" i="1"/>
  <c r="D64" i="1"/>
  <c r="C64" i="1"/>
  <c r="B64" i="1"/>
  <c r="J63" i="1"/>
  <c r="I63" i="1"/>
  <c r="H63" i="1"/>
  <c r="G63" i="1"/>
  <c r="E63" i="1"/>
  <c r="D63" i="1"/>
  <c r="C63" i="1"/>
  <c r="B63" i="1"/>
  <c r="J62" i="1"/>
  <c r="I62" i="1"/>
  <c r="H62" i="1"/>
  <c r="G62" i="1"/>
  <c r="E62" i="1"/>
  <c r="D62" i="1"/>
  <c r="C62" i="1"/>
  <c r="B62" i="1"/>
  <c r="J61" i="1"/>
  <c r="I61" i="1"/>
  <c r="H61" i="1"/>
  <c r="G61" i="1"/>
  <c r="E61" i="1"/>
  <c r="D61" i="1"/>
  <c r="C61" i="1"/>
  <c r="B61" i="1"/>
  <c r="J60" i="1"/>
  <c r="I60" i="1"/>
  <c r="H60" i="1"/>
  <c r="G60" i="1"/>
  <c r="E60" i="1"/>
  <c r="D60" i="1"/>
  <c r="C60" i="1"/>
  <c r="B60" i="1"/>
  <c r="J56" i="1"/>
  <c r="I56" i="1"/>
  <c r="H56" i="1"/>
  <c r="G56" i="1"/>
  <c r="E56" i="1"/>
  <c r="D56" i="1"/>
  <c r="C56" i="1"/>
  <c r="B56" i="1"/>
  <c r="J55" i="1"/>
  <c r="I55" i="1"/>
  <c r="H55" i="1"/>
  <c r="G55" i="1"/>
  <c r="E55" i="1"/>
  <c r="D55" i="1"/>
  <c r="C55" i="1"/>
  <c r="B55" i="1"/>
  <c r="J54" i="1"/>
  <c r="I54" i="1"/>
  <c r="H54" i="1"/>
  <c r="G54" i="1"/>
  <c r="E54" i="1"/>
  <c r="D54" i="1"/>
  <c r="C54" i="1"/>
  <c r="B54" i="1"/>
  <c r="J53" i="1"/>
  <c r="I53" i="1"/>
  <c r="H53" i="1"/>
  <c r="G53" i="1"/>
  <c r="E53" i="1"/>
  <c r="D53" i="1"/>
  <c r="C53" i="1"/>
  <c r="B53" i="1"/>
  <c r="J52" i="1"/>
  <c r="I52" i="1"/>
  <c r="H52" i="1"/>
  <c r="G52" i="1"/>
  <c r="E52" i="1"/>
  <c r="D52" i="1"/>
  <c r="C52" i="1"/>
  <c r="B52" i="1"/>
  <c r="J51" i="1"/>
  <c r="I51" i="1"/>
  <c r="H51" i="1"/>
  <c r="G51" i="1"/>
  <c r="E51" i="1"/>
  <c r="D51" i="1"/>
  <c r="C51" i="1"/>
  <c r="B51" i="1"/>
  <c r="J47" i="1"/>
  <c r="I47" i="1"/>
  <c r="H47" i="1"/>
  <c r="G47" i="1"/>
  <c r="E47" i="1"/>
  <c r="D47" i="1"/>
  <c r="C47" i="1"/>
  <c r="B47" i="1"/>
  <c r="J46" i="1"/>
  <c r="I46" i="1"/>
  <c r="H46" i="1"/>
  <c r="G46" i="1"/>
  <c r="E46" i="1"/>
  <c r="D46" i="1"/>
  <c r="C46" i="1"/>
  <c r="B46" i="1"/>
  <c r="J45" i="1"/>
  <c r="I45" i="1"/>
  <c r="H45" i="1"/>
  <c r="G45" i="1"/>
  <c r="E45" i="1"/>
  <c r="D45" i="1"/>
  <c r="C45" i="1"/>
  <c r="B45" i="1"/>
  <c r="J44" i="1"/>
  <c r="I44" i="1"/>
  <c r="H44" i="1"/>
  <c r="G44" i="1"/>
  <c r="E44" i="1"/>
  <c r="D44" i="1"/>
  <c r="C44" i="1"/>
  <c r="B44" i="1"/>
  <c r="J43" i="1"/>
  <c r="I43" i="1"/>
  <c r="H43" i="1"/>
  <c r="G43" i="1"/>
  <c r="E43" i="1"/>
  <c r="D43" i="1"/>
  <c r="C43" i="1"/>
  <c r="B43" i="1"/>
  <c r="J35" i="1"/>
  <c r="I35" i="1"/>
  <c r="H35" i="1"/>
  <c r="G35" i="1"/>
  <c r="E35" i="1"/>
  <c r="D35" i="1"/>
  <c r="C35" i="1"/>
  <c r="B35" i="1"/>
  <c r="J34" i="1"/>
  <c r="I34" i="1"/>
  <c r="H34" i="1"/>
  <c r="G34" i="1"/>
  <c r="E34" i="1"/>
  <c r="D34" i="1"/>
  <c r="C34" i="1"/>
  <c r="B34" i="1"/>
  <c r="J33" i="1"/>
  <c r="I33" i="1"/>
  <c r="H33" i="1"/>
  <c r="G33" i="1"/>
  <c r="E33" i="1"/>
  <c r="D33" i="1"/>
  <c r="C33" i="1"/>
  <c r="B33" i="1"/>
  <c r="J32" i="1"/>
  <c r="I32" i="1"/>
  <c r="H32" i="1"/>
  <c r="G32" i="1"/>
  <c r="G39" i="1" s="1"/>
  <c r="E32" i="1"/>
  <c r="D32" i="1"/>
  <c r="C32" i="1"/>
  <c r="C39" i="1" s="1"/>
  <c r="B32" i="1"/>
  <c r="B39" i="1" s="1"/>
  <c r="J31" i="1"/>
  <c r="J38" i="1" s="1"/>
  <c r="I31" i="1"/>
  <c r="I38" i="1" s="1"/>
  <c r="H31" i="1"/>
  <c r="H38" i="1" s="1"/>
  <c r="G31" i="1"/>
  <c r="G38" i="1" s="1"/>
  <c r="E31" i="1"/>
  <c r="E38" i="1" s="1"/>
  <c r="D31" i="1"/>
  <c r="D38" i="1" s="1"/>
  <c r="C31" i="1"/>
  <c r="C38" i="1" s="1"/>
  <c r="B31" i="1"/>
  <c r="B38" i="1" s="1"/>
  <c r="J30" i="1"/>
  <c r="I30" i="1"/>
  <c r="H30" i="1"/>
  <c r="G30" i="1"/>
  <c r="E30" i="1"/>
  <c r="D30" i="1"/>
  <c r="C30" i="1"/>
  <c r="B30" i="1"/>
  <c r="J29" i="1"/>
  <c r="I29" i="1"/>
  <c r="H29" i="1"/>
  <c r="G29" i="1"/>
  <c r="E29" i="1"/>
  <c r="D29" i="1"/>
  <c r="C29" i="1"/>
  <c r="B29" i="1"/>
  <c r="J28" i="1"/>
  <c r="I28" i="1"/>
  <c r="H28" i="1"/>
  <c r="G28" i="1"/>
  <c r="E28" i="1"/>
  <c r="D28" i="1"/>
  <c r="C28" i="1"/>
  <c r="B28" i="1"/>
  <c r="J24" i="1"/>
  <c r="I24" i="1"/>
  <c r="H24" i="1"/>
  <c r="G24" i="1"/>
  <c r="E24" i="1"/>
  <c r="D24" i="1"/>
  <c r="C24" i="1"/>
  <c r="B24" i="1"/>
  <c r="J23" i="1"/>
  <c r="I23" i="1"/>
  <c r="H23" i="1"/>
  <c r="G23" i="1"/>
  <c r="E23" i="1"/>
  <c r="D23" i="1"/>
  <c r="C23" i="1"/>
  <c r="B23" i="1"/>
  <c r="J22" i="1"/>
  <c r="I22" i="1"/>
  <c r="H22" i="1"/>
  <c r="G22" i="1"/>
  <c r="E22" i="1"/>
  <c r="D22" i="1"/>
  <c r="C22" i="1"/>
  <c r="B22" i="1"/>
  <c r="J21" i="1"/>
  <c r="I21" i="1"/>
  <c r="H21" i="1"/>
  <c r="G21" i="1"/>
  <c r="E21" i="1"/>
  <c r="D21" i="1"/>
  <c r="C21" i="1"/>
  <c r="B21" i="1"/>
  <c r="J20" i="1"/>
  <c r="I20" i="1"/>
  <c r="H20" i="1"/>
  <c r="G20" i="1"/>
  <c r="E20" i="1"/>
  <c r="D20" i="1"/>
  <c r="C20" i="1"/>
  <c r="B20" i="1"/>
  <c r="J19" i="1"/>
  <c r="I19" i="1"/>
  <c r="H19" i="1"/>
  <c r="G19" i="1"/>
  <c r="E19" i="1"/>
  <c r="D19" i="1"/>
  <c r="C19" i="1"/>
  <c r="B19" i="1"/>
  <c r="J18" i="1"/>
  <c r="I18" i="1"/>
  <c r="H18" i="1"/>
  <c r="G18" i="1"/>
  <c r="E18" i="1"/>
  <c r="D18" i="1"/>
  <c r="C18" i="1"/>
  <c r="B18" i="1"/>
  <c r="F14" i="1"/>
  <c r="J9" i="1"/>
  <c r="I9" i="1"/>
  <c r="H9" i="1"/>
  <c r="G9" i="1"/>
  <c r="E9" i="1"/>
  <c r="D9" i="1"/>
  <c r="C9" i="1"/>
  <c r="B9" i="1"/>
  <c r="J8" i="1"/>
  <c r="I8" i="1"/>
  <c r="H8" i="1"/>
  <c r="G8" i="1"/>
  <c r="E8" i="1"/>
  <c r="D8" i="1"/>
  <c r="C8" i="1"/>
  <c r="B8" i="1"/>
  <c r="J7" i="1"/>
  <c r="I7" i="1"/>
  <c r="H7" i="1"/>
  <c r="G7" i="1"/>
  <c r="E7" i="1"/>
  <c r="D7" i="1"/>
  <c r="C7" i="1"/>
  <c r="B7" i="1"/>
  <c r="J6" i="1"/>
  <c r="J12" i="1" s="1"/>
  <c r="I6" i="1"/>
  <c r="I12" i="1" s="1"/>
  <c r="H6" i="1"/>
  <c r="H12" i="1" s="1"/>
  <c r="G6" i="1"/>
  <c r="G12" i="1" s="1"/>
  <c r="E6" i="1"/>
  <c r="E12" i="1" s="1"/>
  <c r="D6" i="1"/>
  <c r="D12" i="1" s="1"/>
  <c r="C6" i="1"/>
  <c r="C12" i="1" s="1"/>
  <c r="B6" i="1"/>
  <c r="B12" i="1" s="1"/>
  <c r="J5" i="1"/>
  <c r="I5" i="1"/>
  <c r="H5" i="1"/>
  <c r="G5" i="1"/>
  <c r="E5" i="1"/>
  <c r="D5" i="1"/>
  <c r="C5" i="1"/>
  <c r="B5" i="1"/>
  <c r="J4" i="1"/>
  <c r="I4" i="1"/>
  <c r="H4" i="1"/>
  <c r="G4" i="1"/>
  <c r="E4" i="1"/>
  <c r="D4" i="1"/>
  <c r="C4" i="1"/>
  <c r="B4" i="1"/>
  <c r="B11" i="1" l="1"/>
  <c r="B13" i="1"/>
  <c r="I37" i="1"/>
  <c r="D37" i="1"/>
  <c r="H11" i="1"/>
  <c r="C11" i="1"/>
  <c r="D13" i="1"/>
  <c r="E11" i="1"/>
  <c r="G37" i="1"/>
  <c r="H13" i="1"/>
  <c r="B37" i="1"/>
  <c r="E37" i="1"/>
  <c r="J39" i="1"/>
  <c r="H39" i="1"/>
  <c r="H37" i="1"/>
  <c r="D39" i="1"/>
  <c r="I11" i="1"/>
  <c r="E39" i="1"/>
  <c r="I13" i="1"/>
  <c r="C13" i="1"/>
  <c r="G11" i="1"/>
  <c r="J11" i="1"/>
  <c r="C37" i="1"/>
  <c r="I39" i="1"/>
  <c r="D11" i="1"/>
  <c r="J13" i="1"/>
  <c r="J37" i="1"/>
  <c r="E13" i="1"/>
  <c r="G13" i="1"/>
  <c r="B14" i="1" l="1"/>
  <c r="D14" i="1"/>
  <c r="H14" i="1"/>
  <c r="E14" i="1"/>
  <c r="C14" i="1"/>
  <c r="I14" i="1"/>
  <c r="G14" i="1"/>
  <c r="J14" i="1"/>
</calcChain>
</file>

<file path=xl/sharedStrings.xml><?xml version="1.0" encoding="utf-8"?>
<sst xmlns="http://schemas.openxmlformats.org/spreadsheetml/2006/main" count="496" uniqueCount="134">
  <si>
    <t>Black non-college</t>
  </si>
  <si>
    <t>Hispanic noncollege</t>
  </si>
  <si>
    <t>Asian noncollege</t>
  </si>
  <si>
    <t>White noncollege</t>
  </si>
  <si>
    <t>Black College</t>
  </si>
  <si>
    <t>Hispanic college</t>
  </si>
  <si>
    <t>Asian college</t>
  </si>
  <si>
    <t>White college</t>
  </si>
  <si>
    <t>Very liberal</t>
  </si>
  <si>
    <t>Liberal</t>
  </si>
  <si>
    <t>Moderate</t>
  </si>
  <si>
    <t>Conservative</t>
  </si>
  <si>
    <t>Very conservative</t>
  </si>
  <si>
    <t>Not sure</t>
  </si>
  <si>
    <t>More than once a week</t>
  </si>
  <si>
    <t>Once a week</t>
  </si>
  <si>
    <t>Once or twice a month</t>
  </si>
  <si>
    <t>A few times a year</t>
  </si>
  <si>
    <t>Seldom</t>
  </si>
  <si>
    <t>Never</t>
  </si>
  <si>
    <t>Don't know</t>
  </si>
  <si>
    <t>Strong Democrat</t>
  </si>
  <si>
    <t>Not very strong Democrat</t>
  </si>
  <si>
    <t>The Democratic Party</t>
  </si>
  <si>
    <t>Neither</t>
  </si>
  <si>
    <t>The Republican Party</t>
  </si>
  <si>
    <t>Not very strong Republican</t>
  </si>
  <si>
    <t>Strong Republican</t>
  </si>
  <si>
    <t>Democrat</t>
  </si>
  <si>
    <t xml:space="preserve">Neither </t>
  </si>
  <si>
    <t>Republican</t>
  </si>
  <si>
    <t>Used social media</t>
  </si>
  <si>
    <t>Watched TV news</t>
  </si>
  <si>
    <t>Read a newspaper in print or online</t>
  </si>
  <si>
    <t>Listened to a radio news program or talk radio</t>
  </si>
  <si>
    <t>None</t>
  </si>
  <si>
    <t>Posted a story, photo, video, or link about politics</t>
  </si>
  <si>
    <t xml:space="preserve">Posted a comment about politics </t>
  </si>
  <si>
    <t>Read a story or watched a video about politics</t>
  </si>
  <si>
    <t>Followed a political event</t>
  </si>
  <si>
    <t>Forwarded a story, photo, video, or link about politics to friends</t>
  </si>
  <si>
    <t>Put it on my credit card and pay it off in full at the next statement</t>
  </si>
  <si>
    <t>Put it on my credit card and pay it off over time</t>
  </si>
  <si>
    <t>With the money currently in my checking/savings account or with cash</t>
  </si>
  <si>
    <t>Using money from a bank loan or line of credit</t>
  </si>
  <si>
    <t>By borrowing from a friend or family member</t>
  </si>
  <si>
    <t>Using a payday loan, deposit advance, or overdraft</t>
  </si>
  <si>
    <t xml:space="preserve">By selling something </t>
  </si>
  <si>
    <t>I wouldn't be able to pay for the expense right now</t>
  </si>
  <si>
    <t>Other</t>
  </si>
  <si>
    <t>Require able-bodied adults 18 to 49 years of age who do not have dependents to have a job in order to receive food stamps.</t>
  </si>
  <si>
    <t>Hispanic non-college</t>
  </si>
  <si>
    <t>Asian non-college</t>
  </si>
  <si>
    <t>White non-college</t>
  </si>
  <si>
    <t>Black college</t>
  </si>
  <si>
    <t>Support</t>
  </si>
  <si>
    <t>Oppose</t>
  </si>
  <si>
    <t>Mostly safe</t>
  </si>
  <si>
    <t>Somewhat safe</t>
  </si>
  <si>
    <t>Somewhat unsafe</t>
  </si>
  <si>
    <t>Mostly unsafe</t>
  </si>
  <si>
    <t>Total safe</t>
  </si>
  <si>
    <t>Total unsafe</t>
  </si>
  <si>
    <t>Eliminate mandatory minimum sentences for non-violent drug offenders.</t>
  </si>
  <si>
    <t>Require police officers to wear body cameras that record all of their activities while on duty.</t>
  </si>
  <si>
    <t>Black noncollege</t>
  </si>
  <si>
    <t>Increase the number of police on the street by 10 percent, even if it means fewer funds for other public services.</t>
  </si>
  <si>
    <t>Decrease the number of police on the street by 10 percent, and increase funding for other public services</t>
  </si>
  <si>
    <t>Ban the use of choke holds by police</t>
  </si>
  <si>
    <t>Create a national registry of police who have been investigated for or disciplined for misconduct.</t>
  </si>
  <si>
    <t>Allow individuals or their families to sue a police officer for damages if the officer is found to have “recklessly disregarded” the individual’s rights.</t>
  </si>
  <si>
    <t>End the Department of Defense program that sends surplus military weapons and equipment to police departments.</t>
  </si>
  <si>
    <t>Increase the number of police by 10% even if it means cutting other services</t>
  </si>
  <si>
    <t>Grant legal status to all illegal immigrants who have held jobs and paid taxes for at least 3 years, and not been convicted of any felony crimes.</t>
  </si>
  <si>
    <t>Increase the number of border patrols on the US-Mexican border.</t>
  </si>
  <si>
    <t>Withhold federal funds from any local police department that does not report to the federal government anyone they identify as an illegal immigrant.</t>
  </si>
  <si>
    <t>Increase spending on border security by $25 billion, including building a wall between the U.S. and Mexico.</t>
  </si>
  <si>
    <t>Always allow abortion as a matter of choice</t>
  </si>
  <si>
    <t>Permit abortion only in cases of rape, incest, or woman's life in danger</t>
  </si>
  <si>
    <t>Prohibit all abortions after 20 weeks</t>
  </si>
  <si>
    <t>Allow employers to decline coverage of abortions in insurance plans</t>
  </si>
  <si>
    <t>Prohibit the expenditure of funds authorized or appropriated by federal law for any abortion.</t>
  </si>
  <si>
    <t>Make abortions illegal in all circumstances</t>
  </si>
  <si>
    <t>Prohibit states from requiring that abortions be performed only at hospitals (not clinics).</t>
  </si>
  <si>
    <t>Health care</t>
  </si>
  <si>
    <t>Allow the government to negotiate with drug companies to get a lower price on prescription drugs that would apply to both Medicare and private insurance. Maximum negotiated price could not exceed 120% of the average prices in 6 other countries.</t>
  </si>
  <si>
    <t>Lower the eligibility age for Medicare from 65 to 50.</t>
  </si>
  <si>
    <t>Repeal the entire Affordable Care Act.</t>
  </si>
  <si>
    <t>Restore the Affordable Care Act’s mandate that all individuals be required to purchase health insurance.</t>
  </si>
  <si>
    <t>Allow states to import prescription drugs from other countries.</t>
  </si>
  <si>
    <t>Amend federal laws to prohibit discrimination on the basis of gender identity and sexual orientation.</t>
  </si>
  <si>
    <t>Raise the minimum wage to $15 an hour.</t>
  </si>
  <si>
    <t>&lt;10k</t>
  </si>
  <si>
    <t>10k-20k</t>
  </si>
  <si>
    <t>20k-30k</t>
  </si>
  <si>
    <t>30k-40k</t>
  </si>
  <si>
    <t>40k-50k</t>
  </si>
  <si>
    <t>50k-60k</t>
  </si>
  <si>
    <t>60k-70k</t>
  </si>
  <si>
    <t>70k-80k</t>
  </si>
  <si>
    <t>80k-100k</t>
  </si>
  <si>
    <t>100k-120k</t>
  </si>
  <si>
    <t>120k-150k</t>
  </si>
  <si>
    <t>150k-200k</t>
  </si>
  <si>
    <t>200k-250k</t>
  </si>
  <si>
    <t>250k-350k</t>
  </si>
  <si>
    <t>350k-500k</t>
  </si>
  <si>
    <t>&gt;500k</t>
  </si>
  <si>
    <t>Prefer not to say</t>
  </si>
  <si>
    <t>Political ideology</t>
  </si>
  <si>
    <t>Aside from weddings and funerals, how often do you attend religious services?</t>
  </si>
  <si>
    <t>Generally speaking, do you think of yourself as a…</t>
  </si>
  <si>
    <t>In the past 24 hours have you…</t>
  </si>
  <si>
    <t>In the past 24 hours, did you do any of the following on social media?</t>
  </si>
  <si>
    <t>Suppose that you have an emergency expense that costs $400. Based on your current financial situation, how would you pay for this expense? If you would use more than one method to cover this expense, please select all that apply.</t>
  </si>
  <si>
    <t>On the issue of gun regulation, do you support or oppose each of the following proposals?</t>
  </si>
  <si>
    <t>Prohibit state and local govs from publishing names and addresses of all gun owners</t>
  </si>
  <si>
    <t>Ban assault rifles</t>
  </si>
  <si>
    <t>Make it easier for people to obtain concealed-carry permit</t>
  </si>
  <si>
    <t>Require equal pay for women and men who are doing similar jobs and have similar qualifications.</t>
  </si>
  <si>
    <t>For each of the following tell us whether you support or oppose these decisions.</t>
  </si>
  <si>
    <t>Over the past two years, Congress voted on many issues. Do you support each of the following proposals?</t>
  </si>
  <si>
    <t>Do the police make you feel…?</t>
  </si>
  <si>
    <t>Do you support or oppose each of the following proposals?</t>
  </si>
  <si>
    <t>What do you think the U.S. government should do about immigration? Do you support or oppose each of the following?</t>
  </si>
  <si>
    <t>Reduce legal immigration by 50 percent over the next 10 years by eliminating the visa lottery and ending family-based migration.</t>
  </si>
  <si>
    <t>On the topic of abortion, do you support or oppose each of the following proposals?</t>
  </si>
  <si>
    <t>Thinking now about health care policy, would you support or oppose each of the following proposals?</t>
  </si>
  <si>
    <t>Thinking back over the last year, what was your family's annual income?</t>
  </si>
  <si>
    <t>Abortion</t>
  </si>
  <si>
    <t>Other issues</t>
  </si>
  <si>
    <t>Gun control</t>
  </si>
  <si>
    <t>Police</t>
  </si>
  <si>
    <t>Immigration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</si>
</sst>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 applyFill="1" applyAlignment="1">
      <alignment wrapText="1"/>
    </xf>
    <xf numFmtId="10" fontId="0" fillId="0" borderId="0" xfId="0" applyNumberFormat="1" applyFill="1"/>
    <xf numFmtId="0" fontId="0" fillId="0" borderId="0" xfId="0" applyFill="1"/>
    <xf numFmtId="10" fontId="0" fillId="0" borderId="0" xfId="1" applyNumberFormat="1" applyFont="1" applyFill="1"/>
    <xf numFmtId="10" fontId="2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0" fontId="2" fillId="0" borderId="0" xfId="0" applyNumberFormat="1" applyFont="1" applyFill="1"/>
    <xf numFmtId="0" fontId="2" fillId="0" borderId="0" xfId="0" applyFont="1" applyFill="1"/>
    <xf numFmtId="10" fontId="3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B659-5DAC-4B6A-9EA3-416BAB853FEA}">
  <dimension ref="A2:J284"/>
  <sheetViews>
    <sheetView tabSelected="1" topLeftCell="A167" workbookViewId="0">
      <selection activeCell="A142" sqref="A142"/>
    </sheetView>
  </sheetViews>
  <sheetFormatPr defaultRowHeight="14.5" x14ac:dyDescent="0.35"/>
  <cols>
    <col min="1" max="1" width="42.6328125" style="1" customWidth="1"/>
    <col min="2" max="2" width="10.453125" style="2" customWidth="1"/>
    <col min="3" max="3" width="10.26953125" style="2" customWidth="1"/>
    <col min="4" max="4" width="9.90625" style="2" customWidth="1"/>
    <col min="5" max="6" width="8.7265625" style="2"/>
    <col min="7" max="7" width="10.08984375" style="2" customWidth="1"/>
    <col min="8" max="8" width="11.453125" style="2" customWidth="1"/>
    <col min="9" max="10" width="8.7265625" style="2"/>
    <col min="11" max="16384" width="8.7265625" style="3"/>
  </cols>
  <sheetData>
    <row r="2" spans="1:10" s="8" customFormat="1" x14ac:dyDescent="0.35">
      <c r="A2" s="5" t="s">
        <v>109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B3" s="2" t="s">
        <v>0</v>
      </c>
      <c r="C3" s="2" t="s">
        <v>1</v>
      </c>
      <c r="D3" s="2" t="s">
        <v>2</v>
      </c>
      <c r="E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1:10" x14ac:dyDescent="0.35">
      <c r="A4" s="1" t="s">
        <v>8</v>
      </c>
      <c r="B4" s="4">
        <f>629/5082</f>
        <v>0.12377016922471468</v>
      </c>
      <c r="C4" s="4">
        <f>379/3508</f>
        <v>0.1080387685290764</v>
      </c>
      <c r="D4" s="4">
        <f>74/680</f>
        <v>0.10882352941176471</v>
      </c>
      <c r="E4" s="4">
        <f>2719/27412</f>
        <v>9.9190135706989646E-2</v>
      </c>
      <c r="F4" s="4"/>
      <c r="G4" s="4">
        <f>300/1857</f>
        <v>0.16155088852988692</v>
      </c>
      <c r="H4" s="4">
        <f>291/1668</f>
        <v>0.17446043165467626</v>
      </c>
      <c r="I4" s="4">
        <f>163/1150</f>
        <v>0.14173913043478262</v>
      </c>
      <c r="J4" s="4">
        <f>3168/16695</f>
        <v>0.18975741239892183</v>
      </c>
    </row>
    <row r="5" spans="1:10" x14ac:dyDescent="0.35">
      <c r="A5" s="1" t="s">
        <v>9</v>
      </c>
      <c r="B5" s="4">
        <f>977/5082</f>
        <v>0.19224714679260133</v>
      </c>
      <c r="C5" s="4">
        <f>615/3508</f>
        <v>0.17531356898517675</v>
      </c>
      <c r="D5" s="4">
        <f>146/680</f>
        <v>0.21470588235294116</v>
      </c>
      <c r="E5" s="4">
        <f>3863/27412</f>
        <v>0.14092368305851452</v>
      </c>
      <c r="F5" s="4"/>
      <c r="G5" s="4">
        <f>492/1857</f>
        <v>0.26494345718901452</v>
      </c>
      <c r="H5" s="4">
        <f>395/1668</f>
        <v>0.236810551558753</v>
      </c>
      <c r="I5" s="4">
        <f>311/1150</f>
        <v>0.27043478260869563</v>
      </c>
      <c r="J5" s="4">
        <f>4055/16695</f>
        <v>0.2428870919436957</v>
      </c>
    </row>
    <row r="6" spans="1:10" x14ac:dyDescent="0.35">
      <c r="A6" s="1" t="s">
        <v>10</v>
      </c>
      <c r="B6" s="4">
        <f>1879/5082</f>
        <v>0.36973632428177883</v>
      </c>
      <c r="C6" s="4">
        <f>1242/3508</f>
        <v>0.3540478905359179</v>
      </c>
      <c r="D6" s="4">
        <f>237/680</f>
        <v>0.34852941176470587</v>
      </c>
      <c r="E6" s="4">
        <f>8379/27412</f>
        <v>0.30566905005107253</v>
      </c>
      <c r="F6" s="4"/>
      <c r="G6" s="4">
        <f>734/1857</f>
        <v>0.39526117393645666</v>
      </c>
      <c r="H6" s="4">
        <f>553/1668</f>
        <v>0.33153477218225419</v>
      </c>
      <c r="I6" s="4">
        <f>458/1150</f>
        <v>0.39826086956521739</v>
      </c>
      <c r="J6" s="4">
        <f>4832/16695</f>
        <v>0.28942797244684038</v>
      </c>
    </row>
    <row r="7" spans="1:10" x14ac:dyDescent="0.35">
      <c r="A7" s="1" t="s">
        <v>11</v>
      </c>
      <c r="B7" s="4">
        <f>500/5082</f>
        <v>9.8386462022825666E-2</v>
      </c>
      <c r="C7" s="4">
        <f>478/3508</f>
        <v>0.1362599771949829</v>
      </c>
      <c r="D7" s="4">
        <f>87/680</f>
        <v>0.12794117647058822</v>
      </c>
      <c r="E7" s="4">
        <f>5902/27412</f>
        <v>0.21530716474536699</v>
      </c>
      <c r="F7" s="4"/>
      <c r="G7" s="4">
        <f>157/1857</f>
        <v>8.4544964997307487E-2</v>
      </c>
      <c r="H7" s="4">
        <f>248/1668</f>
        <v>0.14868105515587529</v>
      </c>
      <c r="I7" s="4">
        <f>128/1150</f>
        <v>0.11130434782608696</v>
      </c>
      <c r="J7" s="4">
        <f>2727/16695</f>
        <v>0.16334231805929919</v>
      </c>
    </row>
    <row r="8" spans="1:10" x14ac:dyDescent="0.35">
      <c r="A8" s="1" t="s">
        <v>12</v>
      </c>
      <c r="B8" s="4">
        <f>301/5082</f>
        <v>5.9228650137741048E-2</v>
      </c>
      <c r="C8" s="4">
        <f>242/3508</f>
        <v>6.8985176738882548E-2</v>
      </c>
      <c r="D8" s="4">
        <f>44/680</f>
        <v>6.4705882352941183E-2</v>
      </c>
      <c r="E8" s="4">
        <f>4008/27412</f>
        <v>0.14621333722457319</v>
      </c>
      <c r="F8" s="4"/>
      <c r="G8" s="4">
        <f>77/1857</f>
        <v>4.1464728056004305E-2</v>
      </c>
      <c r="H8" s="4">
        <f>119/1668</f>
        <v>7.1342925659472423E-2</v>
      </c>
      <c r="I8" s="4">
        <f>44/1150</f>
        <v>3.826086956521739E-2</v>
      </c>
      <c r="J8" s="4">
        <f>1667/16695</f>
        <v>9.9850254567235702E-2</v>
      </c>
    </row>
    <row r="9" spans="1:10" x14ac:dyDescent="0.35">
      <c r="A9" s="1" t="s">
        <v>13</v>
      </c>
      <c r="B9" s="4">
        <f>796/5082</f>
        <v>0.15663124754033844</v>
      </c>
      <c r="C9" s="4">
        <f>552/3508</f>
        <v>0.15735461801596351</v>
      </c>
      <c r="D9" s="4">
        <f>92/680</f>
        <v>0.13529411764705881</v>
      </c>
      <c r="E9" s="4">
        <f>2541/27412</f>
        <v>9.269662921348315E-2</v>
      </c>
      <c r="F9" s="4"/>
      <c r="G9" s="4">
        <f>97/1857</f>
        <v>5.2234787291330104E-2</v>
      </c>
      <c r="H9" s="4">
        <f>62/1668</f>
        <v>3.7170263788968823E-2</v>
      </c>
      <c r="I9" s="4">
        <f>46/1150</f>
        <v>0.04</v>
      </c>
      <c r="J9" s="4">
        <f>246/16695</f>
        <v>1.4734950584007188E-2</v>
      </c>
    </row>
    <row r="11" spans="1:10" x14ac:dyDescent="0.35">
      <c r="A11" s="1" t="s">
        <v>9</v>
      </c>
      <c r="B11" s="2">
        <f>B4+B5</f>
        <v>0.31601731601731597</v>
      </c>
      <c r="C11" s="2">
        <f>C4+C5</f>
        <v>0.28335233751425315</v>
      </c>
      <c r="D11" s="2">
        <f>D4+D5</f>
        <v>0.32352941176470584</v>
      </c>
      <c r="E11" s="2">
        <f>E4+E5</f>
        <v>0.24011381876550417</v>
      </c>
      <c r="G11" s="2">
        <f>G4+G5</f>
        <v>0.42649434571890144</v>
      </c>
      <c r="H11" s="2">
        <f>H4+H5</f>
        <v>0.41127098321342925</v>
      </c>
      <c r="I11" s="2">
        <f>I4+I5</f>
        <v>0.41217391304347828</v>
      </c>
      <c r="J11" s="2">
        <f>J4+J5</f>
        <v>0.43264450434261753</v>
      </c>
    </row>
    <row r="12" spans="1:10" x14ac:dyDescent="0.35">
      <c r="A12" s="1" t="s">
        <v>10</v>
      </c>
      <c r="B12" s="2">
        <f>B6</f>
        <v>0.36973632428177883</v>
      </c>
      <c r="C12" s="2">
        <f>C6</f>
        <v>0.3540478905359179</v>
      </c>
      <c r="D12" s="2">
        <f>D6</f>
        <v>0.34852941176470587</v>
      </c>
      <c r="E12" s="2">
        <f>E6</f>
        <v>0.30566905005107253</v>
      </c>
      <c r="G12" s="2">
        <f>G6</f>
        <v>0.39526117393645666</v>
      </c>
      <c r="H12" s="2">
        <f>H6</f>
        <v>0.33153477218225419</v>
      </c>
      <c r="I12" s="2">
        <f>I6</f>
        <v>0.39826086956521739</v>
      </c>
      <c r="J12" s="2">
        <f>J6</f>
        <v>0.28942797244684038</v>
      </c>
    </row>
    <row r="13" spans="1:10" x14ac:dyDescent="0.35">
      <c r="A13" s="1" t="s">
        <v>11</v>
      </c>
      <c r="B13" s="2">
        <f>B7+B8</f>
        <v>0.15761511216056673</v>
      </c>
      <c r="C13" s="2">
        <f>C7+C8</f>
        <v>0.20524515393386544</v>
      </c>
      <c r="D13" s="2">
        <f>D7+D8</f>
        <v>0.19264705882352939</v>
      </c>
      <c r="E13" s="2">
        <f>E7+E8</f>
        <v>0.36152050196994018</v>
      </c>
      <c r="G13" s="2">
        <f>G7+G8</f>
        <v>0.12600969305331178</v>
      </c>
      <c r="H13" s="2">
        <f>H7+H8</f>
        <v>0.22002398081534771</v>
      </c>
      <c r="I13" s="2">
        <f>I7+I8</f>
        <v>0.14956521739130435</v>
      </c>
      <c r="J13" s="2">
        <f>J7+J8</f>
        <v>0.26319257262653489</v>
      </c>
    </row>
    <row r="14" spans="1:10" x14ac:dyDescent="0.35">
      <c r="B14" s="2">
        <f>SUM(B11:B13)</f>
        <v>0.84336875245966159</v>
      </c>
      <c r="C14" s="2">
        <f t="shared" ref="C14:J14" si="0">SUM(C11:C13)</f>
        <v>0.84264538198403649</v>
      </c>
      <c r="D14" s="2">
        <f t="shared" si="0"/>
        <v>0.8647058823529411</v>
      </c>
      <c r="E14" s="2">
        <f t="shared" si="0"/>
        <v>0.90730337078651679</v>
      </c>
      <c r="F14" s="2">
        <f t="shared" si="0"/>
        <v>0</v>
      </c>
      <c r="G14" s="2">
        <f t="shared" si="0"/>
        <v>0.94776521270866987</v>
      </c>
      <c r="H14" s="2">
        <f t="shared" si="0"/>
        <v>0.96282973621103118</v>
      </c>
      <c r="I14" s="2">
        <f t="shared" si="0"/>
        <v>0.96000000000000008</v>
      </c>
      <c r="J14" s="2">
        <f t="shared" si="0"/>
        <v>0.98526504941599291</v>
      </c>
    </row>
    <row r="16" spans="1:10" s="8" customFormat="1" ht="29" x14ac:dyDescent="0.35">
      <c r="A16" s="5" t="s">
        <v>110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35">
      <c r="B17" s="2" t="s">
        <v>0</v>
      </c>
      <c r="C17" s="2" t="s">
        <v>1</v>
      </c>
      <c r="D17" s="2" t="s">
        <v>2</v>
      </c>
      <c r="E17" s="2" t="s">
        <v>3</v>
      </c>
      <c r="G17" s="2" t="s">
        <v>4</v>
      </c>
      <c r="H17" s="2" t="s">
        <v>5</v>
      </c>
      <c r="I17" s="2" t="s">
        <v>6</v>
      </c>
      <c r="J17" s="2" t="s">
        <v>7</v>
      </c>
    </row>
    <row r="18" spans="1:10" x14ac:dyDescent="0.35">
      <c r="A18" s="1" t="s">
        <v>14</v>
      </c>
      <c r="B18" s="4">
        <f>494/5088</f>
        <v>9.7091194968553465E-2</v>
      </c>
      <c r="C18" s="4">
        <f>208/3509</f>
        <v>5.9276147050441721E-2</v>
      </c>
      <c r="D18" s="4">
        <f>33/681</f>
        <v>4.8458149779735685E-2</v>
      </c>
      <c r="E18" s="4">
        <f>1495/27420</f>
        <v>5.4522246535375636E-2</v>
      </c>
      <c r="F18" s="4"/>
      <c r="G18" s="4">
        <f>241/1858</f>
        <v>0.12970936490850377</v>
      </c>
      <c r="H18" s="4">
        <f>91/1670</f>
        <v>5.4491017964071853E-2</v>
      </c>
      <c r="I18" s="4">
        <f>53/1150</f>
        <v>4.6086956521739129E-2</v>
      </c>
      <c r="J18" s="4">
        <f>1026/16695</f>
        <v>6.1455525606469004E-2</v>
      </c>
    </row>
    <row r="19" spans="1:10" x14ac:dyDescent="0.35">
      <c r="A19" s="1" t="s">
        <v>15</v>
      </c>
      <c r="B19" s="4">
        <f>949/5088</f>
        <v>0.18651729559748428</v>
      </c>
      <c r="C19" s="4">
        <f>514/3509</f>
        <v>0.14648047876888001</v>
      </c>
      <c r="D19" s="4">
        <f>115/681</f>
        <v>0.16886930983847284</v>
      </c>
      <c r="E19" s="4">
        <f>3884/27420</f>
        <v>0.14164843180160466</v>
      </c>
      <c r="F19" s="4"/>
      <c r="G19" s="4">
        <f>488/1858</f>
        <v>0.26264800861141013</v>
      </c>
      <c r="H19" s="4">
        <f>321/1670</f>
        <v>0.19221556886227545</v>
      </c>
      <c r="I19" s="4">
        <f>196/1150</f>
        <v>0.17043478260869566</v>
      </c>
      <c r="J19" s="4">
        <f>2940/16695</f>
        <v>0.1761006289308176</v>
      </c>
    </row>
    <row r="20" spans="1:10" x14ac:dyDescent="0.35">
      <c r="A20" s="1" t="s">
        <v>16</v>
      </c>
      <c r="B20" s="4">
        <f>440/5088</f>
        <v>8.6477987421383642E-2</v>
      </c>
      <c r="C20" s="4">
        <f>264/3509</f>
        <v>7.5235109717868343E-2</v>
      </c>
      <c r="D20" s="4">
        <f>53/681</f>
        <v>7.7826725403817909E-2</v>
      </c>
      <c r="E20" s="4">
        <f>1523/27420</f>
        <v>5.5543398978847559E-2</v>
      </c>
      <c r="F20" s="4"/>
      <c r="G20" s="4">
        <f>172/1858</f>
        <v>9.2572658772874059E-2</v>
      </c>
      <c r="H20" s="4">
        <f>152/1670</f>
        <v>9.1017964071856292E-2</v>
      </c>
      <c r="I20" s="4">
        <f>79/1150</f>
        <v>6.8695652173913047E-2</v>
      </c>
      <c r="J20" s="4">
        <f>1182/16695</f>
        <v>7.0799640610961362E-2</v>
      </c>
    </row>
    <row r="21" spans="1:10" x14ac:dyDescent="0.35">
      <c r="A21" s="1" t="s">
        <v>17</v>
      </c>
      <c r="B21" s="4">
        <f>661/5088</f>
        <v>0.12991352201257861</v>
      </c>
      <c r="C21" s="4">
        <f>606/3509</f>
        <v>0.17269877457965233</v>
      </c>
      <c r="D21" s="4">
        <f>88/681</f>
        <v>0.12922173274596183</v>
      </c>
      <c r="E21" s="4">
        <f>3336/27420</f>
        <v>0.12166301969365427</v>
      </c>
      <c r="F21" s="4"/>
      <c r="G21" s="4">
        <f>248/1858</f>
        <v>0.13347685683530677</v>
      </c>
      <c r="H21" s="4">
        <f>286/1670</f>
        <v>0.17125748502994012</v>
      </c>
      <c r="I21" s="4">
        <f>175/1150</f>
        <v>0.15217391304347827</v>
      </c>
      <c r="J21" s="4">
        <f>2255/16695</f>
        <v>0.13507038035339922</v>
      </c>
    </row>
    <row r="22" spans="1:10" x14ac:dyDescent="0.35">
      <c r="A22" s="1" t="s">
        <v>18</v>
      </c>
      <c r="B22" s="4">
        <f>1130/5088</f>
        <v>0.22209119496855345</v>
      </c>
      <c r="C22" s="4">
        <f>758/3509</f>
        <v>0.21601595896266743</v>
      </c>
      <c r="D22" s="4">
        <f>145/681</f>
        <v>0.21292217327459617</v>
      </c>
      <c r="E22" s="4">
        <f>6657/27420</f>
        <v>0.24277899343544856</v>
      </c>
      <c r="F22" s="4"/>
      <c r="G22" s="4">
        <f>358/1858</f>
        <v>0.19268030139935413</v>
      </c>
      <c r="H22" s="4">
        <f>324/1670</f>
        <v>0.19401197604790418</v>
      </c>
      <c r="I22" s="4">
        <f>225/1150</f>
        <v>0.19565217391304349</v>
      </c>
      <c r="J22" s="4">
        <f>3417/16695</f>
        <v>0.20467205750224618</v>
      </c>
    </row>
    <row r="23" spans="1:10" x14ac:dyDescent="0.35">
      <c r="A23" s="1" t="s">
        <v>19</v>
      </c>
      <c r="B23" s="4">
        <f>1138/5088</f>
        <v>0.22366352201257861</v>
      </c>
      <c r="C23" s="4">
        <f>989/3509</f>
        <v>0.2818466799658022</v>
      </c>
      <c r="D23" s="4">
        <f>223/681</f>
        <v>0.32745961820851688</v>
      </c>
      <c r="E23" s="4">
        <f>9957/27420</f>
        <v>0.36312910284463895</v>
      </c>
      <c r="F23" s="4"/>
      <c r="G23" s="4">
        <f>319/1858</f>
        <v>0.17168998923573736</v>
      </c>
      <c r="H23" s="4">
        <f>473/1670</f>
        <v>0.28323353293413173</v>
      </c>
      <c r="I23" s="4">
        <f>402/1150</f>
        <v>0.34956521739130436</v>
      </c>
      <c r="J23" s="4">
        <f>5774/16695</f>
        <v>0.34585205151242887</v>
      </c>
    </row>
    <row r="24" spans="1:10" x14ac:dyDescent="0.35">
      <c r="A24" s="1" t="s">
        <v>20</v>
      </c>
      <c r="B24" s="4">
        <f>276/5088</f>
        <v>5.4245283018867926E-2</v>
      </c>
      <c r="C24" s="4">
        <f>170/3509</f>
        <v>4.8446850954687946E-2</v>
      </c>
      <c r="D24" s="4">
        <f>24/681</f>
        <v>3.5242290748898682E-2</v>
      </c>
      <c r="E24" s="4">
        <f>568/27420</f>
        <v>2.0714806710430342E-2</v>
      </c>
      <c r="F24" s="4"/>
      <c r="G24" s="4">
        <f>32/1858</f>
        <v>1.7222820236813777E-2</v>
      </c>
      <c r="H24" s="4">
        <f>23/1670</f>
        <v>1.3772455089820359E-2</v>
      </c>
      <c r="I24" s="4">
        <f>20/1150</f>
        <v>1.7391304347826087E-2</v>
      </c>
      <c r="J24" s="4">
        <f>101/16695</f>
        <v>6.0497154836777478E-3</v>
      </c>
    </row>
    <row r="26" spans="1:10" s="8" customFormat="1" ht="29" x14ac:dyDescent="0.35">
      <c r="A26" s="5" t="s">
        <v>111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x14ac:dyDescent="0.35">
      <c r="B27" s="2" t="s">
        <v>0</v>
      </c>
      <c r="C27" s="2" t="s">
        <v>1</v>
      </c>
      <c r="D27" s="2" t="s">
        <v>2</v>
      </c>
      <c r="E27" s="2" t="s">
        <v>3</v>
      </c>
      <c r="G27" s="2" t="s">
        <v>4</v>
      </c>
      <c r="H27" s="2" t="s">
        <v>5</v>
      </c>
      <c r="I27" s="2" t="s">
        <v>6</v>
      </c>
      <c r="J27" s="2" t="s">
        <v>7</v>
      </c>
    </row>
    <row r="28" spans="1:10" x14ac:dyDescent="0.35">
      <c r="A28" s="1" t="s">
        <v>21</v>
      </c>
      <c r="B28" s="4">
        <f>2382/5094</f>
        <v>0.46760895170789163</v>
      </c>
      <c r="C28" s="4">
        <f>891/3510</f>
        <v>0.25384615384615383</v>
      </c>
      <c r="D28" s="4">
        <f>141/681</f>
        <v>0.20704845814977973</v>
      </c>
      <c r="E28" s="4">
        <f>5017/27431</f>
        <v>0.18289526448179066</v>
      </c>
      <c r="F28" s="4"/>
      <c r="G28" s="4">
        <f>958/1858</f>
        <v>0.51560818083961246</v>
      </c>
      <c r="H28" s="4">
        <f>518/1670</f>
        <v>0.31017964071856285</v>
      </c>
      <c r="I28" s="4">
        <f>299/1150</f>
        <v>0.26</v>
      </c>
      <c r="J28" s="4">
        <f>5210/16697</f>
        <v>0.31203210157513328</v>
      </c>
    </row>
    <row r="29" spans="1:10" x14ac:dyDescent="0.35">
      <c r="A29" s="1" t="s">
        <v>22</v>
      </c>
      <c r="B29" s="4">
        <f>811/5094</f>
        <v>0.15920691009030233</v>
      </c>
      <c r="C29" s="4">
        <f>599/3510</f>
        <v>0.17065527065527067</v>
      </c>
      <c r="D29" s="4">
        <f>125/681</f>
        <v>0.18355359765051396</v>
      </c>
      <c r="E29" s="4">
        <f>2410/27431</f>
        <v>8.7856804345448583E-2</v>
      </c>
      <c r="F29" s="4"/>
      <c r="G29" s="4">
        <f>336/1858</f>
        <v>0.18083961248654468</v>
      </c>
      <c r="H29" s="4">
        <f>243/1670</f>
        <v>0.14550898203592813</v>
      </c>
      <c r="I29" s="4">
        <f>255/1150</f>
        <v>0.22173913043478261</v>
      </c>
      <c r="J29" s="4">
        <f>1674/16697</f>
        <v>0.10025753129304665</v>
      </c>
    </row>
    <row r="30" spans="1:10" x14ac:dyDescent="0.35">
      <c r="A30" s="1" t="s">
        <v>23</v>
      </c>
      <c r="B30" s="4">
        <f>448/5094</f>
        <v>8.7946603847663923E-2</v>
      </c>
      <c r="C30" s="4">
        <f>315/3510</f>
        <v>8.9743589743589744E-2</v>
      </c>
      <c r="D30" s="4">
        <f>67/681</f>
        <v>9.8384728340675479E-2</v>
      </c>
      <c r="E30" s="4">
        <f>2521/27431</f>
        <v>9.1903321060114465E-2</v>
      </c>
      <c r="F30" s="4"/>
      <c r="G30" s="4">
        <f>188/1858</f>
        <v>0.10118406889128095</v>
      </c>
      <c r="H30" s="4">
        <f>197/1670</f>
        <v>0.11796407185628742</v>
      </c>
      <c r="I30" s="4">
        <f>149/1150</f>
        <v>0.12956521739130436</v>
      </c>
      <c r="J30" s="4">
        <f>2390/16697</f>
        <v>0.14313948613523386</v>
      </c>
    </row>
    <row r="31" spans="1:10" x14ac:dyDescent="0.35">
      <c r="A31" s="1" t="s">
        <v>24</v>
      </c>
      <c r="B31" s="4">
        <f>719/5094</f>
        <v>0.14114644680015706</v>
      </c>
      <c r="C31" s="4">
        <f>584/3510</f>
        <v>0.16638176638176638</v>
      </c>
      <c r="D31" s="4">
        <f>140/681</f>
        <v>0.20558002936857561</v>
      </c>
      <c r="E31" s="4">
        <f>4112/27431</f>
        <v>0.14990339397032554</v>
      </c>
      <c r="F31" s="4"/>
      <c r="G31" s="4">
        <f>210/1858</f>
        <v>0.11302475780409042</v>
      </c>
      <c r="H31" s="4">
        <f>240/1670</f>
        <v>0.1437125748502994</v>
      </c>
      <c r="I31" s="4">
        <f>194/1150</f>
        <v>0.16869565217391305</v>
      </c>
      <c r="J31" s="4">
        <f>1954/16697</f>
        <v>0.1170270108402707</v>
      </c>
    </row>
    <row r="32" spans="1:10" x14ac:dyDescent="0.35">
      <c r="A32" s="1" t="s">
        <v>25</v>
      </c>
      <c r="B32" s="4">
        <f>120/5094</f>
        <v>2.3557126030624265E-2</v>
      </c>
      <c r="C32" s="4">
        <f>207/3510</f>
        <v>5.8974358974358973E-2</v>
      </c>
      <c r="D32" s="4">
        <f>44/681</f>
        <v>6.4610866372980913E-2</v>
      </c>
      <c r="E32" s="4">
        <f>2775/27431</f>
        <v>0.10116291786664722</v>
      </c>
      <c r="F32" s="4"/>
      <c r="G32" s="4">
        <f>46/1858</f>
        <v>2.4757804090419805E-2</v>
      </c>
      <c r="H32" s="4">
        <f>110/1670</f>
        <v>6.5868263473053898E-2</v>
      </c>
      <c r="I32" s="4">
        <f>53/1150</f>
        <v>4.6086956521739129E-2</v>
      </c>
      <c r="J32" s="4">
        <f>1486/16697</f>
        <v>8.8998023597053361E-2</v>
      </c>
    </row>
    <row r="33" spans="1:10" x14ac:dyDescent="0.35">
      <c r="A33" s="1" t="s">
        <v>26</v>
      </c>
      <c r="B33" s="4">
        <f>106/5094</f>
        <v>2.0808794660384766E-2</v>
      </c>
      <c r="C33" s="4">
        <f>232/3510</f>
        <v>6.6096866096866103E-2</v>
      </c>
      <c r="D33" s="4">
        <f>49/681</f>
        <v>7.1953010279001473E-2</v>
      </c>
      <c r="E33" s="4">
        <f>2889/27431</f>
        <v>0.10531879989792571</v>
      </c>
      <c r="F33" s="4"/>
      <c r="G33" s="4">
        <f>30/1858</f>
        <v>1.6146393972012917E-2</v>
      </c>
      <c r="H33" s="4">
        <f>138/1670</f>
        <v>8.263473053892216E-2</v>
      </c>
      <c r="I33" s="4">
        <f>79/1150</f>
        <v>6.8695652173913047E-2</v>
      </c>
      <c r="J33" s="4">
        <f>1351/16697</f>
        <v>8.0912738815356058E-2</v>
      </c>
    </row>
    <row r="34" spans="1:10" x14ac:dyDescent="0.35">
      <c r="A34" s="1" t="s">
        <v>27</v>
      </c>
      <c r="B34" s="4">
        <f>164/5094</f>
        <v>3.2194738908519829E-2</v>
      </c>
      <c r="C34" s="4">
        <f>345/3510</f>
        <v>9.8290598290598288E-2</v>
      </c>
      <c r="D34" s="4">
        <f>63/681</f>
        <v>9.2511013215859028E-2</v>
      </c>
      <c r="E34" s="4">
        <f>6500/27431</f>
        <v>0.23695818599394844</v>
      </c>
      <c r="F34" s="4"/>
      <c r="G34" s="4">
        <f>53/1858</f>
        <v>2.8525296017222819E-2</v>
      </c>
      <c r="H34" s="4">
        <f>178/1670</f>
        <v>0.10658682634730539</v>
      </c>
      <c r="I34" s="4">
        <f>69/1150</f>
        <v>0.06</v>
      </c>
      <c r="J34" s="4">
        <f>2486/16697</f>
        <v>0.1488890219799964</v>
      </c>
    </row>
    <row r="35" spans="1:10" x14ac:dyDescent="0.35">
      <c r="A35" s="1" t="s">
        <v>13</v>
      </c>
      <c r="B35" s="4">
        <f>344/5094</f>
        <v>6.7530427954456226E-2</v>
      </c>
      <c r="C35" s="4">
        <f>337/3510</f>
        <v>9.6011396011396008E-2</v>
      </c>
      <c r="D35" s="4">
        <f>52/681</f>
        <v>7.63582966226138E-2</v>
      </c>
      <c r="E35" s="4">
        <f>1207/27431</f>
        <v>4.4001312383799354E-2</v>
      </c>
      <c r="F35" s="4"/>
      <c r="G35" s="4">
        <f>37/1858</f>
        <v>1.9913885898815931E-2</v>
      </c>
      <c r="H35" s="4">
        <f>46/1670</f>
        <v>2.7544910179640718E-2</v>
      </c>
      <c r="I35" s="4">
        <f>52/1150</f>
        <v>4.5217391304347827E-2</v>
      </c>
      <c r="J35" s="4">
        <f>146/16697</f>
        <v>8.7440857639096842E-3</v>
      </c>
    </row>
    <row r="36" spans="1:10" x14ac:dyDescent="0.35"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35">
      <c r="A37" s="1" t="s">
        <v>28</v>
      </c>
      <c r="B37" s="2">
        <f>SUM(B28:B30)</f>
        <v>0.71476246564585788</v>
      </c>
      <c r="C37" s="2">
        <f t="shared" ref="C37:E37" si="1">SUM(C28:C30)</f>
        <v>0.51424501424501423</v>
      </c>
      <c r="D37" s="2">
        <f t="shared" si="1"/>
        <v>0.48898678414096919</v>
      </c>
      <c r="E37" s="2">
        <f t="shared" si="1"/>
        <v>0.36265538988735369</v>
      </c>
      <c r="G37" s="2">
        <f t="shared" ref="G37:J37" si="2">SUM(G28:G30)</f>
        <v>0.79763186221743809</v>
      </c>
      <c r="H37" s="2">
        <f t="shared" si="2"/>
        <v>0.57365269461077839</v>
      </c>
      <c r="I37" s="2">
        <f t="shared" si="2"/>
        <v>0.611304347826087</v>
      </c>
      <c r="J37" s="2">
        <f t="shared" si="2"/>
        <v>0.55542911900341374</v>
      </c>
    </row>
    <row r="38" spans="1:10" x14ac:dyDescent="0.35">
      <c r="A38" s="1" t="s">
        <v>29</v>
      </c>
      <c r="B38" s="2">
        <f>B31</f>
        <v>0.14114644680015706</v>
      </c>
      <c r="C38" s="2">
        <f t="shared" ref="C38:E38" si="3">C31</f>
        <v>0.16638176638176638</v>
      </c>
      <c r="D38" s="2">
        <f t="shared" si="3"/>
        <v>0.20558002936857561</v>
      </c>
      <c r="E38" s="2">
        <f t="shared" si="3"/>
        <v>0.14990339397032554</v>
      </c>
      <c r="G38" s="2">
        <f t="shared" ref="G38:J38" si="4">G31</f>
        <v>0.11302475780409042</v>
      </c>
      <c r="H38" s="2">
        <f t="shared" si="4"/>
        <v>0.1437125748502994</v>
      </c>
      <c r="I38" s="2">
        <f t="shared" si="4"/>
        <v>0.16869565217391305</v>
      </c>
      <c r="J38" s="2">
        <f t="shared" si="4"/>
        <v>0.1170270108402707</v>
      </c>
    </row>
    <row r="39" spans="1:10" x14ac:dyDescent="0.35">
      <c r="A39" s="1" t="s">
        <v>30</v>
      </c>
      <c r="B39" s="2">
        <f>SUM(B32:B34)</f>
        <v>7.656065959952886E-2</v>
      </c>
      <c r="C39" s="2">
        <f t="shared" ref="C39:E39" si="5">SUM(C32:C34)</f>
        <v>0.22336182336182336</v>
      </c>
      <c r="D39" s="2">
        <f t="shared" si="5"/>
        <v>0.22907488986784141</v>
      </c>
      <c r="E39" s="2">
        <f t="shared" si="5"/>
        <v>0.44343990375852138</v>
      </c>
      <c r="G39" s="2">
        <f t="shared" ref="G39:J39" si="6">SUM(G32:G34)</f>
        <v>6.942949407965554E-2</v>
      </c>
      <c r="H39" s="2">
        <f t="shared" si="6"/>
        <v>0.25508982035928146</v>
      </c>
      <c r="I39" s="2">
        <f t="shared" si="6"/>
        <v>0.17478260869565218</v>
      </c>
      <c r="J39" s="2">
        <f t="shared" si="6"/>
        <v>0.31879978439240586</v>
      </c>
    </row>
    <row r="41" spans="1:10" s="8" customFormat="1" x14ac:dyDescent="0.35">
      <c r="A41" s="5" t="s">
        <v>112</v>
      </c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35">
      <c r="B42" s="2" t="s">
        <v>0</v>
      </c>
      <c r="C42" s="2" t="s">
        <v>1</v>
      </c>
      <c r="D42" s="2" t="s">
        <v>2</v>
      </c>
      <c r="E42" s="2" t="s">
        <v>3</v>
      </c>
      <c r="G42" s="2" t="s">
        <v>4</v>
      </c>
      <c r="H42" s="2" t="s">
        <v>5</v>
      </c>
      <c r="I42" s="2" t="s">
        <v>6</v>
      </c>
      <c r="J42" s="2" t="s">
        <v>7</v>
      </c>
    </row>
    <row r="43" spans="1:10" x14ac:dyDescent="0.35">
      <c r="A43" s="1" t="s">
        <v>31</v>
      </c>
      <c r="B43" s="4">
        <f>3704/5094</f>
        <v>0.7271299568119356</v>
      </c>
      <c r="C43" s="4">
        <f>2774/3510</f>
        <v>0.79031339031339032</v>
      </c>
      <c r="D43" s="4">
        <f>516/681</f>
        <v>0.75770925110132159</v>
      </c>
      <c r="E43" s="4">
        <f>20661/27431</f>
        <v>0.75319893551091832</v>
      </c>
      <c r="F43" s="4"/>
      <c r="G43" s="4">
        <f>1352/1858</f>
        <v>0.72766415500538217</v>
      </c>
      <c r="H43" s="4">
        <f>1283/1670</f>
        <v>0.7682634730538922</v>
      </c>
      <c r="I43" s="4">
        <f>934/1150</f>
        <v>0.8121739130434783</v>
      </c>
      <c r="J43" s="4">
        <f>13053/16697</f>
        <v>0.7817572018925556</v>
      </c>
    </row>
    <row r="44" spans="1:10" x14ac:dyDescent="0.35">
      <c r="A44" s="1" t="s">
        <v>32</v>
      </c>
      <c r="B44" s="4">
        <f>3444/5094</f>
        <v>0.6760895170789164</v>
      </c>
      <c r="C44" s="4">
        <f>1994/3510</f>
        <v>0.56809116809116811</v>
      </c>
      <c r="D44" s="4">
        <f>371/681</f>
        <v>0.54478707782672542</v>
      </c>
      <c r="E44" s="4">
        <f>16790/27431</f>
        <v>0.61208122197513759</v>
      </c>
      <c r="F44" s="4"/>
      <c r="G44" s="4">
        <f>1416/1858</f>
        <v>0.7621097954790097</v>
      </c>
      <c r="H44" s="4">
        <f>1101/1670</f>
        <v>0.65928143712574849</v>
      </c>
      <c r="I44" s="4">
        <f>661/1150</f>
        <v>0.57478260869565212</v>
      </c>
      <c r="J44" s="4">
        <f>9628/16697</f>
        <v>0.57663053243097562</v>
      </c>
    </row>
    <row r="45" spans="1:10" x14ac:dyDescent="0.35">
      <c r="A45" s="1" t="s">
        <v>33</v>
      </c>
      <c r="B45" s="4">
        <f>1240/5094</f>
        <v>0.24342363564978406</v>
      </c>
      <c r="C45" s="4">
        <f>828/3510</f>
        <v>0.23589743589743589</v>
      </c>
      <c r="D45" s="4">
        <f>207/681</f>
        <v>0.30396475770925108</v>
      </c>
      <c r="E45" s="4">
        <f>8323/27431</f>
        <v>0.30341584338886662</v>
      </c>
      <c r="F45" s="4"/>
      <c r="G45" s="4">
        <f>768/1858</f>
        <v>0.4133476856835307</v>
      </c>
      <c r="H45" s="4">
        <f>785/1670</f>
        <v>0.47005988023952094</v>
      </c>
      <c r="I45" s="4">
        <f>580/1150</f>
        <v>0.5043478260869565</v>
      </c>
      <c r="J45" s="4">
        <f>9139/16697</f>
        <v>0.54734383422171651</v>
      </c>
    </row>
    <row r="46" spans="1:10" x14ac:dyDescent="0.35">
      <c r="A46" s="1" t="s">
        <v>34</v>
      </c>
      <c r="B46" s="4">
        <f>1281/5094</f>
        <v>0.25147232037691403</v>
      </c>
      <c r="C46" s="4">
        <f>908/3510</f>
        <v>0.2586894586894587</v>
      </c>
      <c r="D46" s="4">
        <f>143/681</f>
        <v>0.20998531571218795</v>
      </c>
      <c r="E46" s="4">
        <f>7238/27431</f>
        <v>0.26386205388064599</v>
      </c>
      <c r="F46" s="4"/>
      <c r="G46" s="4">
        <f>630/1858</f>
        <v>0.33907427341227125</v>
      </c>
      <c r="H46" s="4">
        <f>606/1670</f>
        <v>0.36287425149700597</v>
      </c>
      <c r="I46" s="4">
        <f>340/1150</f>
        <v>0.29565217391304349</v>
      </c>
      <c r="J46" s="4">
        <f>6143/16697</f>
        <v>0.36791040306641914</v>
      </c>
    </row>
    <row r="47" spans="1:10" x14ac:dyDescent="0.35">
      <c r="A47" s="1" t="s">
        <v>35</v>
      </c>
      <c r="B47" s="4">
        <f>236/5094</f>
        <v>4.6329014526894384E-2</v>
      </c>
      <c r="C47" s="4">
        <f>171/3510</f>
        <v>4.8717948717948718E-2</v>
      </c>
      <c r="D47" s="4">
        <f>37/681</f>
        <v>5.4331864904552128E-2</v>
      </c>
      <c r="E47" s="4">
        <f>1306/27431</f>
        <v>4.7610367832014874E-2</v>
      </c>
      <c r="F47" s="4"/>
      <c r="G47" s="4">
        <f>51/1858</f>
        <v>2.7448869752421959E-2</v>
      </c>
      <c r="H47" s="4">
        <f>44/1626</f>
        <v>2.7060270602706028E-2</v>
      </c>
      <c r="I47" s="4">
        <f>47/1150</f>
        <v>4.0869565217391303E-2</v>
      </c>
      <c r="J47" s="4">
        <f>423/16697</f>
        <v>2.5333892315984909E-2</v>
      </c>
    </row>
    <row r="49" spans="1:10" s="8" customFormat="1" ht="29" x14ac:dyDescent="0.35">
      <c r="A49" s="5" t="s">
        <v>113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35">
      <c r="B50" s="2" t="s">
        <v>0</v>
      </c>
      <c r="C50" s="2" t="s">
        <v>1</v>
      </c>
      <c r="D50" s="2" t="s">
        <v>2</v>
      </c>
      <c r="E50" s="2" t="s">
        <v>3</v>
      </c>
      <c r="G50" s="2" t="s">
        <v>4</v>
      </c>
      <c r="H50" s="2" t="s">
        <v>5</v>
      </c>
      <c r="I50" s="2" t="s">
        <v>6</v>
      </c>
      <c r="J50" s="2" t="s">
        <v>7</v>
      </c>
    </row>
    <row r="51" spans="1:10" x14ac:dyDescent="0.35">
      <c r="A51" s="1" t="s">
        <v>36</v>
      </c>
      <c r="B51" s="4">
        <f>814/5904</f>
        <v>0.13787262872628725</v>
      </c>
      <c r="C51" s="4">
        <f>633/3510</f>
        <v>0.18034188034188034</v>
      </c>
      <c r="D51" s="4">
        <f>94/681</f>
        <v>0.13803230543318648</v>
      </c>
      <c r="E51" s="4">
        <f>4714/27431</f>
        <v>0.17184936750391894</v>
      </c>
      <c r="F51" s="4"/>
      <c r="G51" s="4">
        <f>349/1858</f>
        <v>0.18783638320775026</v>
      </c>
      <c r="H51" s="4">
        <f>360/1670</f>
        <v>0.21556886227544911</v>
      </c>
      <c r="I51" s="4">
        <f>157/1150</f>
        <v>0.13652173913043478</v>
      </c>
      <c r="J51" s="4">
        <f>3480/16697</f>
        <v>0.20842067437264178</v>
      </c>
    </row>
    <row r="52" spans="1:10" x14ac:dyDescent="0.35">
      <c r="A52" s="1" t="s">
        <v>37</v>
      </c>
      <c r="B52" s="4">
        <f>773/5094</f>
        <v>0.15174715351393797</v>
      </c>
      <c r="C52" s="4">
        <f>563/3510</f>
        <v>0.16039886039886039</v>
      </c>
      <c r="D52" s="4">
        <f>81/681</f>
        <v>0.11894273127753303</v>
      </c>
      <c r="E52" s="4">
        <f>5702/27431</f>
        <v>0.20786701177499908</v>
      </c>
      <c r="F52" s="4"/>
      <c r="G52" s="4">
        <f>382/1858</f>
        <v>0.20559741657696448</v>
      </c>
      <c r="H52" s="4">
        <f>429/1670</f>
        <v>0.2568862275449102</v>
      </c>
      <c r="I52" s="4">
        <f>176/1150</f>
        <v>0.15304347826086956</v>
      </c>
      <c r="J52" s="4">
        <f>4568/16697</f>
        <v>0.27358208061328382</v>
      </c>
    </row>
    <row r="53" spans="1:10" x14ac:dyDescent="0.35">
      <c r="A53" s="1" t="s">
        <v>38</v>
      </c>
      <c r="B53" s="4">
        <f>1806/5094</f>
        <v>0.35453474676089519</v>
      </c>
      <c r="C53" s="4">
        <f>1467/3510</f>
        <v>0.41794871794871796</v>
      </c>
      <c r="D53" s="4">
        <f>304/681</f>
        <v>0.44640234948604995</v>
      </c>
      <c r="E53" s="4">
        <f>11001/27431</f>
        <v>0.40104261601837338</v>
      </c>
      <c r="F53" s="4"/>
      <c r="G53" s="4">
        <f>832/1858</f>
        <v>0.44779332615715822</v>
      </c>
      <c r="H53" s="4">
        <f>841/1670</f>
        <v>0.50359281437125747</v>
      </c>
      <c r="I53" s="4">
        <f>620/1150</f>
        <v>0.53913043478260869</v>
      </c>
      <c r="J53" s="4">
        <f>9065/16697</f>
        <v>0.54291190034137871</v>
      </c>
    </row>
    <row r="54" spans="1:10" x14ac:dyDescent="0.35">
      <c r="A54" s="1" t="s">
        <v>39</v>
      </c>
      <c r="B54" s="4">
        <f>598/5094</f>
        <v>0.11739301138594425</v>
      </c>
      <c r="C54" s="4">
        <f>491/3510</f>
        <v>0.1398860398860399</v>
      </c>
      <c r="D54" s="4">
        <f>95/681</f>
        <v>0.1395007342143906</v>
      </c>
      <c r="E54" s="4">
        <f>4100/27431</f>
        <v>0.14946593270387518</v>
      </c>
      <c r="F54" s="4"/>
      <c r="G54" s="4">
        <f>309/1858</f>
        <v>0.16630785791173305</v>
      </c>
      <c r="H54" s="4">
        <f>384/1670</f>
        <v>0.22994011976047904</v>
      </c>
      <c r="I54" s="4">
        <f>248/1150</f>
        <v>0.21565217391304348</v>
      </c>
      <c r="J54" s="4">
        <f>3873/16697</f>
        <v>0.23195783673713841</v>
      </c>
    </row>
    <row r="55" spans="1:10" ht="29" x14ac:dyDescent="0.35">
      <c r="A55" s="1" t="s">
        <v>40</v>
      </c>
      <c r="B55" s="4">
        <f>748/5094</f>
        <v>0.14683941892422459</v>
      </c>
      <c r="C55" s="4">
        <f>657/3510</f>
        <v>0.18717948717948718</v>
      </c>
      <c r="D55" s="4">
        <f>98/681</f>
        <v>0.14390602055800295</v>
      </c>
      <c r="E55" s="4">
        <f>5004/27431</f>
        <v>0.18242134810980279</v>
      </c>
      <c r="F55" s="4"/>
      <c r="G55" s="4">
        <f>401/1858</f>
        <v>0.21582346609257266</v>
      </c>
      <c r="H55" s="4">
        <f>405/1670</f>
        <v>0.24251497005988024</v>
      </c>
      <c r="I55" s="4">
        <f>257/1150</f>
        <v>0.22347826086956521</v>
      </c>
      <c r="J55" s="4">
        <f>3963/16697</f>
        <v>0.23734802659160328</v>
      </c>
    </row>
    <row r="56" spans="1:10" x14ac:dyDescent="0.35">
      <c r="A56" s="1" t="s">
        <v>35</v>
      </c>
      <c r="B56" s="4">
        <f>1355/5094</f>
        <v>0.26599921476246563</v>
      </c>
      <c r="C56" s="4">
        <f>925/3510</f>
        <v>0.26353276353276356</v>
      </c>
      <c r="D56" s="4">
        <f>170/681</f>
        <v>0.24963289280469897</v>
      </c>
      <c r="E56" s="4">
        <f>7228/27431</f>
        <v>0.26349750282527068</v>
      </c>
      <c r="F56" s="4"/>
      <c r="G56" s="4">
        <f>337/1858</f>
        <v>0.18137782561894511</v>
      </c>
      <c r="H56" s="4">
        <f>308/1670</f>
        <v>0.18443113772455089</v>
      </c>
      <c r="I56" s="4">
        <f>232/1150</f>
        <v>0.20173913043478262</v>
      </c>
      <c r="J56" s="4">
        <f>2686/16697</f>
        <v>0.16086722165658501</v>
      </c>
    </row>
    <row r="58" spans="1:10" s="8" customFormat="1" ht="72.5" x14ac:dyDescent="0.35">
      <c r="A58" s="5" t="s">
        <v>114</v>
      </c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35">
      <c r="B59" s="2" t="s">
        <v>0</v>
      </c>
      <c r="C59" s="2" t="s">
        <v>1</v>
      </c>
      <c r="D59" s="2" t="s">
        <v>2</v>
      </c>
      <c r="E59" s="2" t="s">
        <v>3</v>
      </c>
      <c r="G59" s="2" t="s">
        <v>4</v>
      </c>
      <c r="H59" s="2" t="s">
        <v>5</v>
      </c>
      <c r="I59" s="2" t="s">
        <v>6</v>
      </c>
      <c r="J59" s="2" t="s">
        <v>7</v>
      </c>
    </row>
    <row r="60" spans="1:10" ht="29" x14ac:dyDescent="0.35">
      <c r="A60" s="1" t="s">
        <v>41</v>
      </c>
      <c r="B60" s="4">
        <f>616/5094</f>
        <v>0.12092658029053789</v>
      </c>
      <c r="C60" s="4">
        <f>605/3510</f>
        <v>0.17236467236467237</v>
      </c>
      <c r="D60" s="4">
        <f>228/681</f>
        <v>0.33480176211453744</v>
      </c>
      <c r="E60" s="4">
        <f>6283/27431</f>
        <v>0.22904742809230433</v>
      </c>
      <c r="F60" s="4"/>
      <c r="G60" s="4">
        <f>445/1858</f>
        <v>0.2395048439181916</v>
      </c>
      <c r="H60" s="4">
        <f>604/1670</f>
        <v>0.36167664670658684</v>
      </c>
      <c r="I60" s="4">
        <f>657/1150</f>
        <v>0.57130434782608697</v>
      </c>
      <c r="J60" s="4">
        <f>7596/16697</f>
        <v>0.45493202371683533</v>
      </c>
    </row>
    <row r="61" spans="1:10" x14ac:dyDescent="0.35">
      <c r="A61" s="1" t="s">
        <v>42</v>
      </c>
      <c r="B61" s="4">
        <f>932/5094</f>
        <v>0.18296034550451512</v>
      </c>
      <c r="C61" s="4">
        <f>753/3510</f>
        <v>0.21452991452991452</v>
      </c>
      <c r="D61" s="4">
        <f>128/681</f>
        <v>0.18795888399412627</v>
      </c>
      <c r="E61" s="4">
        <f>4667/22764</f>
        <v>0.2050166930240731</v>
      </c>
      <c r="F61" s="4"/>
      <c r="G61" s="4">
        <f>455/1858</f>
        <v>0.24488697524219591</v>
      </c>
      <c r="H61" s="4">
        <f>406/1670</f>
        <v>0.24311377245508983</v>
      </c>
      <c r="I61" s="4">
        <f>175/1150</f>
        <v>0.15217391304347827</v>
      </c>
      <c r="J61" s="4">
        <f>2625/16697</f>
        <v>0.1572138707552255</v>
      </c>
    </row>
    <row r="62" spans="1:10" ht="29" x14ac:dyDescent="0.35">
      <c r="A62" s="1" t="s">
        <v>43</v>
      </c>
      <c r="B62" s="4">
        <f>1653/5094</f>
        <v>0.32449941107184921</v>
      </c>
      <c r="C62" s="4">
        <f>1123/3510</f>
        <v>0.31994301994301994</v>
      </c>
      <c r="D62" s="4">
        <f>262/681</f>
        <v>0.38472834067547723</v>
      </c>
      <c r="E62" s="4">
        <f>10572/27431</f>
        <v>0.38540337574277278</v>
      </c>
      <c r="F62" s="4"/>
      <c r="G62" s="4">
        <f>906/1858</f>
        <v>0.48762109795479008</v>
      </c>
      <c r="H62" s="4">
        <f>737/1670</f>
        <v>0.44131736526946108</v>
      </c>
      <c r="I62" s="4">
        <f>404/1150</f>
        <v>0.35130434782608694</v>
      </c>
      <c r="J62" s="4">
        <f>7878/16697</f>
        <v>0.47182128526082528</v>
      </c>
    </row>
    <row r="63" spans="1:10" x14ac:dyDescent="0.35">
      <c r="A63" s="1" t="s">
        <v>44</v>
      </c>
      <c r="B63" s="4">
        <f>264/5094</f>
        <v>5.1825677267373381E-2</v>
      </c>
      <c r="C63" s="4">
        <f>157/3510</f>
        <v>4.4729344729344728E-2</v>
      </c>
      <c r="D63" s="4">
        <f>24/681</f>
        <v>3.5242290748898682E-2</v>
      </c>
      <c r="E63" s="4">
        <f>686/27431</f>
        <v>2.5008202398745943E-2</v>
      </c>
      <c r="F63" s="4"/>
      <c r="G63" s="4">
        <f>92/1858</f>
        <v>4.951560818083961E-2</v>
      </c>
      <c r="H63" s="4">
        <f>64/1670</f>
        <v>3.8323353293413173E-2</v>
      </c>
      <c r="I63" s="4">
        <f>28/1150</f>
        <v>2.4347826086956521E-2</v>
      </c>
      <c r="J63" s="4">
        <f>327/16697</f>
        <v>1.9584356471222374E-2</v>
      </c>
    </row>
    <row r="64" spans="1:10" x14ac:dyDescent="0.35">
      <c r="A64" s="1" t="s">
        <v>45</v>
      </c>
      <c r="B64" s="4">
        <f>907/5094</f>
        <v>0.17805261091480173</v>
      </c>
      <c r="C64" s="4">
        <f>642/3510</f>
        <v>0.18290598290598289</v>
      </c>
      <c r="D64" s="4">
        <f>90/681</f>
        <v>0.13215859030837004</v>
      </c>
      <c r="E64" s="4">
        <f>3277/27431</f>
        <v>0.11946338084648755</v>
      </c>
      <c r="F64" s="4"/>
      <c r="G64" s="4">
        <f>203/1858</f>
        <v>0.1092572658772874</v>
      </c>
      <c r="H64" s="4">
        <f>137/1670</f>
        <v>8.2035928143712578E-2</v>
      </c>
      <c r="I64" s="4">
        <f>80/1150</f>
        <v>6.9565217391304349E-2</v>
      </c>
      <c r="J64" s="4">
        <f>959/16697</f>
        <v>5.7435467449242376E-2</v>
      </c>
    </row>
    <row r="65" spans="1:10" ht="29" x14ac:dyDescent="0.35">
      <c r="A65" s="1" t="s">
        <v>46</v>
      </c>
      <c r="B65" s="4">
        <f>303/5094</f>
        <v>5.9481743227326266E-2</v>
      </c>
      <c r="C65" s="4">
        <f>135/3510</f>
        <v>3.8461538461538464E-2</v>
      </c>
      <c r="D65" s="4">
        <f>14/681</f>
        <v>2.0558002936857563E-2</v>
      </c>
      <c r="E65" s="4">
        <f>621/27431</f>
        <v>2.2638620538806459E-2</v>
      </c>
      <c r="F65" s="4"/>
      <c r="G65" s="4">
        <f>65/1858</f>
        <v>3.4983853606027987E-2</v>
      </c>
      <c r="H65" s="4">
        <f>40/1670</f>
        <v>2.3952095808383235E-2</v>
      </c>
      <c r="I65" s="4">
        <f>15/1150</f>
        <v>1.3043478260869565E-2</v>
      </c>
      <c r="J65" s="4">
        <f>173/16697</f>
        <v>1.0361142720249147E-2</v>
      </c>
    </row>
    <row r="66" spans="1:10" x14ac:dyDescent="0.35">
      <c r="A66" s="1" t="s">
        <v>47</v>
      </c>
      <c r="B66" s="4">
        <f>550/5094</f>
        <v>0.10797016097369454</v>
      </c>
      <c r="C66" s="4">
        <f>461/3510</f>
        <v>0.13133903133903133</v>
      </c>
      <c r="D66" s="4">
        <f>59/681</f>
        <v>8.6637298091042578E-2</v>
      </c>
      <c r="E66" s="4">
        <f>2297/27431</f>
        <v>8.3737377419707631E-2</v>
      </c>
      <c r="F66" s="4"/>
      <c r="G66" s="4">
        <f>109/1858</f>
        <v>5.8665231431646932E-2</v>
      </c>
      <c r="H66" s="4">
        <f>105/1670</f>
        <v>6.2874251497005984E-2</v>
      </c>
      <c r="I66" s="4">
        <f>54/1150</f>
        <v>4.6956521739130432E-2</v>
      </c>
      <c r="J66" s="4">
        <f>552/16697</f>
        <v>3.3059831107384557E-2</v>
      </c>
    </row>
    <row r="67" spans="1:10" ht="29" x14ac:dyDescent="0.35">
      <c r="A67" s="1" t="s">
        <v>48</v>
      </c>
      <c r="B67" s="4">
        <f>1692/5094</f>
        <v>0.33215547703180209</v>
      </c>
      <c r="C67" s="4">
        <f>906/3510</f>
        <v>0.25811965811965815</v>
      </c>
      <c r="D67" s="4">
        <f>100/681</f>
        <v>0.14684287812041116</v>
      </c>
      <c r="E67" s="4">
        <f>6302/27431</f>
        <v>0.2297400750975174</v>
      </c>
      <c r="F67" s="4"/>
      <c r="G67" s="4">
        <f>243/1858</f>
        <v>0.13078579117330463</v>
      </c>
      <c r="H67" s="4">
        <f>155/1670</f>
        <v>9.2814371257485026E-2</v>
      </c>
      <c r="I67" s="4">
        <f>50/1150</f>
        <v>4.3478260869565216E-2</v>
      </c>
      <c r="J67" s="4">
        <f>984/16697</f>
        <v>5.8932742408815957E-2</v>
      </c>
    </row>
    <row r="68" spans="1:10" x14ac:dyDescent="0.35">
      <c r="A68" s="1" t="s">
        <v>49</v>
      </c>
      <c r="B68" s="4">
        <f>146/5094</f>
        <v>2.8661170003926189E-2</v>
      </c>
      <c r="C68" s="4">
        <f>84/3510</f>
        <v>2.3931623931623933E-2</v>
      </c>
      <c r="D68" s="4">
        <f>9/681</f>
        <v>1.3215859030837005E-2</v>
      </c>
      <c r="E68" s="4">
        <f>661/27431</f>
        <v>2.4096824760307681E-2</v>
      </c>
      <c r="F68" s="4"/>
      <c r="G68" s="4">
        <f>50/1858</f>
        <v>2.6910656620021529E-2</v>
      </c>
      <c r="H68" s="4">
        <f>32/1670</f>
        <v>1.9161676646706587E-2</v>
      </c>
      <c r="I68" s="4">
        <f>14/1150</f>
        <v>1.2173913043478261E-2</v>
      </c>
      <c r="J68" s="4">
        <f>229/16697</f>
        <v>1.3715038629693957E-2</v>
      </c>
    </row>
    <row r="70" spans="1:10" ht="15.5" x14ac:dyDescent="0.35">
      <c r="A70" s="9" t="s">
        <v>131</v>
      </c>
    </row>
    <row r="72" spans="1:10" s="8" customFormat="1" ht="29" x14ac:dyDescent="0.35">
      <c r="A72" s="5" t="s">
        <v>115</v>
      </c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35">
      <c r="B73" s="2" t="s">
        <v>0</v>
      </c>
      <c r="C73" s="2" t="s">
        <v>1</v>
      </c>
      <c r="D73" s="2" t="s">
        <v>2</v>
      </c>
      <c r="E73" s="2" t="s">
        <v>3</v>
      </c>
      <c r="G73" s="2" t="s">
        <v>4</v>
      </c>
      <c r="H73" s="2" t="s">
        <v>5</v>
      </c>
      <c r="I73" s="2" t="s">
        <v>6</v>
      </c>
      <c r="J73" s="2" t="s">
        <v>7</v>
      </c>
    </row>
    <row r="74" spans="1:10" ht="29" x14ac:dyDescent="0.35">
      <c r="A74" s="1" t="s">
        <v>116</v>
      </c>
      <c r="B74" s="4">
        <f>2423/5094</f>
        <v>0.47565763643502157</v>
      </c>
      <c r="C74" s="4">
        <f>1758/3510</f>
        <v>0.50085470085470085</v>
      </c>
      <c r="D74" s="4">
        <f>342/681</f>
        <v>0.50220264317180618</v>
      </c>
      <c r="E74" s="4">
        <f>15950/27431</f>
        <v>0.58145893332361198</v>
      </c>
      <c r="F74" s="4"/>
      <c r="G74" s="4">
        <f>757/1858</f>
        <v>0.40742734122712593</v>
      </c>
      <c r="H74" s="4">
        <f>827/1670</f>
        <v>0.49520958083832334</v>
      </c>
      <c r="I74" s="4">
        <f>490/1150</f>
        <v>0.42608695652173911</v>
      </c>
      <c r="J74" s="4">
        <f>8620/16697</f>
        <v>0.51626040606096901</v>
      </c>
    </row>
    <row r="75" spans="1:10" x14ac:dyDescent="0.35">
      <c r="A75" s="1" t="s">
        <v>117</v>
      </c>
      <c r="B75" s="4">
        <f>3724/5094</f>
        <v>0.73105614448370637</v>
      </c>
      <c r="C75" s="4">
        <f>2231/3510</f>
        <v>0.63561253561253561</v>
      </c>
      <c r="D75" s="4">
        <f>484/681</f>
        <v>0.71071953010278999</v>
      </c>
      <c r="E75" s="4">
        <f>15867/27431</f>
        <v>0.57843315956399699</v>
      </c>
      <c r="F75" s="4"/>
      <c r="G75" s="4">
        <f>1590/1858</f>
        <v>0.85575888051668458</v>
      </c>
      <c r="H75" s="4">
        <f>1193/1670</f>
        <v>0.71437125748502994</v>
      </c>
      <c r="I75" s="4">
        <f>929/1150</f>
        <v>0.80782608695652169</v>
      </c>
      <c r="J75" s="4">
        <f>11649/16697</f>
        <v>0.69767024016290347</v>
      </c>
    </row>
    <row r="76" spans="1:10" ht="29" x14ac:dyDescent="0.35">
      <c r="A76" s="1" t="s">
        <v>118</v>
      </c>
      <c r="B76" s="4">
        <f>1677/5094</f>
        <v>0.32921083627797409</v>
      </c>
      <c r="C76" s="4">
        <f>1173/3510</f>
        <v>0.33418803418803417</v>
      </c>
      <c r="D76" s="4">
        <f>230/681</f>
        <v>0.33773861967694568</v>
      </c>
      <c r="E76" s="4">
        <f>11419/27431</f>
        <v>0.41628085013306115</v>
      </c>
      <c r="F76" s="4"/>
      <c r="G76" s="4">
        <f>425/1858</f>
        <v>0.22874058127018299</v>
      </c>
      <c r="H76" s="4">
        <f>501/1670</f>
        <v>0.3</v>
      </c>
      <c r="I76" s="4">
        <f>254/1150</f>
        <v>0.22086956521739132</v>
      </c>
      <c r="J76" s="4">
        <f>4877/16697</f>
        <v>0.29208839911361323</v>
      </c>
    </row>
    <row r="79" spans="1:10" ht="15.5" x14ac:dyDescent="0.35">
      <c r="A79" s="9" t="s">
        <v>132</v>
      </c>
    </row>
    <row r="80" spans="1:10" x14ac:dyDescent="0.35">
      <c r="A80" s="5"/>
    </row>
    <row r="81" spans="1:10" s="8" customFormat="1" x14ac:dyDescent="0.35">
      <c r="A81" s="5" t="s">
        <v>122</v>
      </c>
      <c r="B81" s="7"/>
      <c r="C81" s="7"/>
      <c r="D81" s="7"/>
      <c r="E81" s="7"/>
      <c r="F81" s="7"/>
      <c r="G81" s="7"/>
      <c r="H81" s="7"/>
      <c r="I81" s="7"/>
      <c r="J81" s="7"/>
    </row>
    <row r="82" spans="1:10" x14ac:dyDescent="0.35">
      <c r="B82" s="2" t="s">
        <v>0</v>
      </c>
      <c r="C82" s="2" t="s">
        <v>51</v>
      </c>
      <c r="D82" s="2" t="s">
        <v>52</v>
      </c>
      <c r="E82" s="2" t="s">
        <v>53</v>
      </c>
      <c r="G82" s="2" t="s">
        <v>54</v>
      </c>
      <c r="H82" s="2" t="s">
        <v>5</v>
      </c>
      <c r="I82" s="2" t="s">
        <v>6</v>
      </c>
      <c r="J82" s="2" t="s">
        <v>7</v>
      </c>
    </row>
    <row r="83" spans="1:10" x14ac:dyDescent="0.35">
      <c r="A83" s="1" t="s">
        <v>57</v>
      </c>
      <c r="B83" s="2">
        <v>0.13934264908482599</v>
      </c>
      <c r="C83" s="2">
        <v>0.31554921540656206</v>
      </c>
      <c r="D83" s="2">
        <v>0.26138032305433184</v>
      </c>
      <c r="E83" s="2">
        <v>0.54019175385512741</v>
      </c>
      <c r="G83" s="2">
        <v>0.15189189189189189</v>
      </c>
      <c r="H83" s="2">
        <v>0.39268585131894485</v>
      </c>
      <c r="I83" s="2">
        <v>0.2817391304347826</v>
      </c>
      <c r="J83" s="2">
        <v>0.48069081314463902</v>
      </c>
    </row>
    <row r="84" spans="1:10" x14ac:dyDescent="0.35">
      <c r="A84" s="1" t="s">
        <v>58</v>
      </c>
      <c r="B84" s="2">
        <v>0.37158039755953554</v>
      </c>
      <c r="C84" s="2">
        <v>0.41084165477888729</v>
      </c>
      <c r="D84" s="2">
        <v>0.46549192364170339</v>
      </c>
      <c r="E84" s="2">
        <v>0.29521344464292226</v>
      </c>
      <c r="G84" s="2">
        <v>0.34162162162162163</v>
      </c>
      <c r="H84" s="2">
        <v>0.35911270983213428</v>
      </c>
      <c r="I84" s="2">
        <v>0.45478260869565218</v>
      </c>
      <c r="J84" s="2">
        <v>0.32333893019908849</v>
      </c>
    </row>
    <row r="85" spans="1:10" x14ac:dyDescent="0.35">
      <c r="A85" s="1" t="s">
        <v>59</v>
      </c>
      <c r="B85" s="2">
        <v>0.27730761661090336</v>
      </c>
      <c r="C85" s="2">
        <v>0.18516405135520686</v>
      </c>
      <c r="D85" s="2">
        <v>0.19383259911894274</v>
      </c>
      <c r="E85" s="2">
        <v>0.10958404724581677</v>
      </c>
      <c r="G85" s="2">
        <v>0.32702702702702702</v>
      </c>
      <c r="H85" s="2">
        <v>0.17026378896882494</v>
      </c>
      <c r="I85" s="2">
        <v>0.2</v>
      </c>
      <c r="J85" s="2">
        <v>0.14787718877428641</v>
      </c>
    </row>
    <row r="86" spans="1:10" x14ac:dyDescent="0.35">
      <c r="A86" s="1" t="s">
        <v>60</v>
      </c>
      <c r="B86" s="2">
        <v>0.21176933674473528</v>
      </c>
      <c r="C86" s="2">
        <v>8.8445078459343796E-2</v>
      </c>
      <c r="D86" s="2">
        <v>7.9295154185022032E-2</v>
      </c>
      <c r="E86" s="2">
        <v>5.3807735773395066E-2</v>
      </c>
      <c r="G86" s="2">
        <v>0.17945945945945946</v>
      </c>
      <c r="H86" s="2">
        <v>7.7937649880095924E-2</v>
      </c>
      <c r="I86" s="2">
        <v>6.347826086956522E-2</v>
      </c>
      <c r="J86" s="2">
        <v>4.8093067881986085E-2</v>
      </c>
    </row>
    <row r="88" spans="1:10" x14ac:dyDescent="0.35">
      <c r="A88" s="1" t="s">
        <v>61</v>
      </c>
      <c r="B88" s="2">
        <f>B83+B84</f>
        <v>0.5109230466443615</v>
      </c>
      <c r="C88" s="2">
        <f>C83+C84</f>
        <v>0.72639087018544934</v>
      </c>
      <c r="D88" s="2">
        <f t="shared" ref="D88:J88" si="7">D83+D84</f>
        <v>0.72687224669603523</v>
      </c>
      <c r="E88" s="2">
        <f t="shared" si="7"/>
        <v>0.83540519849804973</v>
      </c>
      <c r="G88" s="2">
        <f t="shared" si="7"/>
        <v>0.49351351351351352</v>
      </c>
      <c r="H88" s="2">
        <f t="shared" si="7"/>
        <v>0.75179856115107913</v>
      </c>
      <c r="I88" s="2">
        <f t="shared" si="7"/>
        <v>0.73652173913043484</v>
      </c>
      <c r="J88" s="2">
        <f t="shared" si="7"/>
        <v>0.80402974334372757</v>
      </c>
    </row>
    <row r="89" spans="1:10" x14ac:dyDescent="0.35">
      <c r="A89" s="1" t="s">
        <v>62</v>
      </c>
      <c r="B89" s="2">
        <f>B85+B86</f>
        <v>0.48907695335563861</v>
      </c>
      <c r="C89" s="2">
        <f>C85+C86</f>
        <v>0.27360912981455066</v>
      </c>
      <c r="D89" s="2">
        <f t="shared" ref="D89:J89" si="8">D85+D86</f>
        <v>0.27312775330396477</v>
      </c>
      <c r="E89" s="2">
        <f t="shared" si="8"/>
        <v>0.16339178301921184</v>
      </c>
      <c r="G89" s="2">
        <f t="shared" si="8"/>
        <v>0.50648648648648642</v>
      </c>
      <c r="H89" s="2">
        <f t="shared" si="8"/>
        <v>0.24820143884892087</v>
      </c>
      <c r="I89" s="2">
        <f t="shared" si="8"/>
        <v>0.26347826086956522</v>
      </c>
      <c r="J89" s="2">
        <f t="shared" si="8"/>
        <v>0.19597025665627249</v>
      </c>
    </row>
    <row r="91" spans="1:10" s="8" customFormat="1" ht="29" x14ac:dyDescent="0.35">
      <c r="A91" s="5" t="s">
        <v>123</v>
      </c>
      <c r="B91" s="7"/>
      <c r="C91" s="7"/>
      <c r="D91" s="7"/>
      <c r="E91" s="7"/>
      <c r="F91" s="7"/>
      <c r="G91" s="7"/>
      <c r="H91" s="7"/>
      <c r="I91" s="7"/>
      <c r="J91" s="7"/>
    </row>
    <row r="93" spans="1:10" ht="29" x14ac:dyDescent="0.35">
      <c r="A93" s="1" t="s">
        <v>63</v>
      </c>
    </row>
    <row r="94" spans="1:10" x14ac:dyDescent="0.35">
      <c r="B94" s="2" t="s">
        <v>0</v>
      </c>
      <c r="C94" s="2" t="s">
        <v>51</v>
      </c>
      <c r="D94" s="2" t="s">
        <v>52</v>
      </c>
      <c r="E94" s="2" t="s">
        <v>53</v>
      </c>
      <c r="G94" s="2" t="s">
        <v>54</v>
      </c>
      <c r="H94" s="2" t="s">
        <v>5</v>
      </c>
      <c r="I94" s="2" t="s">
        <v>6</v>
      </c>
      <c r="J94" s="2" t="s">
        <v>7</v>
      </c>
    </row>
    <row r="95" spans="1:10" x14ac:dyDescent="0.35">
      <c r="A95" s="1" t="s">
        <v>55</v>
      </c>
      <c r="B95" s="2">
        <v>0.77365528072241851</v>
      </c>
      <c r="C95" s="2">
        <v>0.66866096866096869</v>
      </c>
      <c r="D95" s="2">
        <v>0.62114537444933926</v>
      </c>
      <c r="E95" s="2">
        <v>0.67492068122971449</v>
      </c>
      <c r="G95" s="2">
        <v>0.81754574811625402</v>
      </c>
      <c r="H95" s="2">
        <v>0.73277411623726785</v>
      </c>
      <c r="I95" s="2">
        <v>0.64956521739130435</v>
      </c>
      <c r="J95" s="2">
        <v>0.79792715073088905</v>
      </c>
    </row>
    <row r="96" spans="1:10" x14ac:dyDescent="0.35">
      <c r="A96" s="1" t="s">
        <v>56</v>
      </c>
      <c r="B96" s="2">
        <v>0.22634471927758146</v>
      </c>
      <c r="C96" s="2">
        <v>0.33133903133903136</v>
      </c>
      <c r="D96" s="2">
        <v>0.3788546255506608</v>
      </c>
      <c r="E96" s="2">
        <v>0.32507931877028556</v>
      </c>
      <c r="G96" s="2">
        <v>0.18245425188374598</v>
      </c>
      <c r="H96" s="2">
        <v>0.26722588376273215</v>
      </c>
      <c r="I96" s="2">
        <v>0.35043478260869565</v>
      </c>
      <c r="J96" s="2">
        <v>0.20207284926911095</v>
      </c>
    </row>
    <row r="98" spans="1:10" ht="29" x14ac:dyDescent="0.35">
      <c r="A98" s="1" t="s">
        <v>64</v>
      </c>
    </row>
    <row r="99" spans="1:10" x14ac:dyDescent="0.35">
      <c r="B99" s="2" t="s">
        <v>65</v>
      </c>
      <c r="C99" s="2" t="s">
        <v>1</v>
      </c>
      <c r="D99" s="2" t="s">
        <v>2</v>
      </c>
      <c r="E99" s="2" t="s">
        <v>3</v>
      </c>
      <c r="G99" s="2" t="s">
        <v>4</v>
      </c>
      <c r="H99" s="2" t="s">
        <v>5</v>
      </c>
      <c r="I99" s="2" t="s">
        <v>6</v>
      </c>
      <c r="J99" s="2" t="s">
        <v>7</v>
      </c>
    </row>
    <row r="100" spans="1:10" x14ac:dyDescent="0.35">
      <c r="A100" s="1" t="s">
        <v>55</v>
      </c>
      <c r="B100" s="2">
        <v>0.89397211859414882</v>
      </c>
      <c r="C100" s="2">
        <v>0.89997150185237962</v>
      </c>
      <c r="D100" s="2">
        <v>0.90308370044052866</v>
      </c>
      <c r="E100" s="2">
        <v>0.92485232990592869</v>
      </c>
      <c r="G100" s="2">
        <v>0.93972012917115177</v>
      </c>
      <c r="H100" s="2">
        <v>0.92455089820359282</v>
      </c>
      <c r="I100" s="2">
        <v>0.93391304347826087</v>
      </c>
      <c r="J100" s="2">
        <v>0.92684242061114441</v>
      </c>
    </row>
    <row r="101" spans="1:10" x14ac:dyDescent="0.35">
      <c r="A101" s="1" t="s">
        <v>56</v>
      </c>
      <c r="B101" s="2">
        <v>0.10602788140585116</v>
      </c>
      <c r="C101" s="2">
        <v>0.10002849814762041</v>
      </c>
      <c r="D101" s="2">
        <v>9.6916299559471369E-2</v>
      </c>
      <c r="E101" s="2">
        <v>7.514767009407132E-2</v>
      </c>
      <c r="G101" s="2">
        <v>6.0279870828848225E-2</v>
      </c>
      <c r="H101" s="2">
        <v>7.5449101796407181E-2</v>
      </c>
      <c r="I101" s="2">
        <v>6.6086956521739126E-2</v>
      </c>
      <c r="J101" s="2">
        <v>7.3157579388855601E-2</v>
      </c>
    </row>
    <row r="103" spans="1:10" ht="43.5" x14ac:dyDescent="0.35">
      <c r="A103" s="1" t="s">
        <v>66</v>
      </c>
    </row>
    <row r="104" spans="1:10" x14ac:dyDescent="0.35">
      <c r="B104" s="2" t="s">
        <v>65</v>
      </c>
      <c r="C104" s="2" t="s">
        <v>1</v>
      </c>
      <c r="D104" s="2" t="s">
        <v>2</v>
      </c>
      <c r="E104" s="2" t="s">
        <v>3</v>
      </c>
      <c r="G104" s="2" t="s">
        <v>4</v>
      </c>
      <c r="H104" s="2" t="s">
        <v>5</v>
      </c>
      <c r="I104" s="2" t="s">
        <v>6</v>
      </c>
      <c r="J104" s="2" t="s">
        <v>7</v>
      </c>
    </row>
    <row r="105" spans="1:10" x14ac:dyDescent="0.35">
      <c r="A105" s="1" t="s">
        <v>55</v>
      </c>
      <c r="B105" s="2">
        <v>0.39713388299960739</v>
      </c>
      <c r="C105" s="2">
        <v>0.4554003989740667</v>
      </c>
      <c r="D105" s="2">
        <v>0.4023494860499266</v>
      </c>
      <c r="E105" s="2">
        <v>0.53105057798198596</v>
      </c>
      <c r="G105" s="2">
        <v>0.30533117932148629</v>
      </c>
      <c r="H105" s="2">
        <v>0.41916167664670656</v>
      </c>
      <c r="I105" s="2">
        <v>0.35304347826086957</v>
      </c>
      <c r="J105" s="2">
        <v>0.35053028941218767</v>
      </c>
    </row>
    <row r="106" spans="1:10" x14ac:dyDescent="0.35">
      <c r="A106" s="1" t="s">
        <v>56</v>
      </c>
      <c r="B106" s="2">
        <v>0.60286611700039261</v>
      </c>
      <c r="C106" s="2">
        <v>0.5445996010259333</v>
      </c>
      <c r="D106" s="2">
        <v>0.5976505139500734</v>
      </c>
      <c r="E106" s="2">
        <v>0.46894942201801409</v>
      </c>
      <c r="G106" s="2">
        <v>0.69466882067851377</v>
      </c>
      <c r="H106" s="2">
        <v>0.58083832335329344</v>
      </c>
      <c r="I106" s="2">
        <v>0.64695652173913043</v>
      </c>
      <c r="J106" s="2">
        <v>0.64946971058781233</v>
      </c>
    </row>
    <row r="108" spans="1:10" ht="43.5" x14ac:dyDescent="0.35">
      <c r="A108" s="1" t="s">
        <v>67</v>
      </c>
    </row>
    <row r="109" spans="1:10" x14ac:dyDescent="0.35">
      <c r="B109" s="2" t="s">
        <v>65</v>
      </c>
      <c r="C109" s="2" t="s">
        <v>1</v>
      </c>
      <c r="D109" s="2" t="s">
        <v>2</v>
      </c>
      <c r="E109" s="2" t="s">
        <v>3</v>
      </c>
      <c r="G109" s="2" t="s">
        <v>4</v>
      </c>
      <c r="H109" s="2" t="s">
        <v>5</v>
      </c>
      <c r="I109" s="2" t="s">
        <v>6</v>
      </c>
      <c r="J109" s="2" t="s">
        <v>7</v>
      </c>
    </row>
    <row r="110" spans="1:10" x14ac:dyDescent="0.35">
      <c r="A110" s="1" t="s">
        <v>55</v>
      </c>
      <c r="B110" s="2">
        <v>0.51895501866038107</v>
      </c>
      <c r="C110" s="2">
        <v>0.44583808437856326</v>
      </c>
      <c r="D110" s="2">
        <v>0.46402349486049926</v>
      </c>
      <c r="E110" s="2">
        <v>0.32642864957514311</v>
      </c>
      <c r="G110" s="2">
        <v>0.5901992460958535</v>
      </c>
      <c r="H110" s="2">
        <v>0.47664670658682634</v>
      </c>
      <c r="I110" s="2">
        <v>0.52741514360313313</v>
      </c>
      <c r="J110" s="2">
        <v>0.47998561840843718</v>
      </c>
    </row>
    <row r="111" spans="1:10" x14ac:dyDescent="0.35">
      <c r="A111" s="1" t="s">
        <v>56</v>
      </c>
      <c r="B111" s="2">
        <v>0.48104498133961893</v>
      </c>
      <c r="C111" s="2">
        <v>0.55416191562143668</v>
      </c>
      <c r="D111" s="2">
        <v>0.53597650513950068</v>
      </c>
      <c r="E111" s="2">
        <v>0.67357135042485683</v>
      </c>
      <c r="G111" s="2">
        <v>0.4098007539041465</v>
      </c>
      <c r="H111" s="2">
        <v>0.5233532934131736</v>
      </c>
      <c r="I111" s="2">
        <v>0.47258485639686681</v>
      </c>
      <c r="J111" s="2">
        <v>0.52001438159156277</v>
      </c>
    </row>
    <row r="113" spans="1:10" x14ac:dyDescent="0.35">
      <c r="A113" s="1" t="s">
        <v>68</v>
      </c>
    </row>
    <row r="114" spans="1:10" x14ac:dyDescent="0.35">
      <c r="B114" s="2" t="s">
        <v>65</v>
      </c>
      <c r="C114" s="2" t="s">
        <v>1</v>
      </c>
      <c r="D114" s="2" t="s">
        <v>2</v>
      </c>
      <c r="E114" s="2" t="s">
        <v>3</v>
      </c>
      <c r="G114" s="2" t="s">
        <v>4</v>
      </c>
      <c r="H114" s="2" t="s">
        <v>5</v>
      </c>
      <c r="I114" s="2" t="s">
        <v>6</v>
      </c>
      <c r="J114" s="2" t="s">
        <v>7</v>
      </c>
    </row>
    <row r="115" spans="1:10" x14ac:dyDescent="0.35">
      <c r="A115" s="1" t="s">
        <v>55</v>
      </c>
      <c r="B115" s="2">
        <v>0.86657496561210456</v>
      </c>
      <c r="C115" s="2">
        <v>0.77080957810718354</v>
      </c>
      <c r="D115" s="2">
        <v>0.75330396475770922</v>
      </c>
      <c r="E115" s="2">
        <v>0.73373450036469734</v>
      </c>
      <c r="G115" s="2">
        <v>0.91711517761033368</v>
      </c>
      <c r="H115" s="2">
        <v>0.77877697841726623</v>
      </c>
      <c r="I115" s="2">
        <v>0.81826086956521737</v>
      </c>
      <c r="J115" s="2">
        <v>0.77066858375269587</v>
      </c>
    </row>
    <row r="116" spans="1:10" x14ac:dyDescent="0.35">
      <c r="A116" s="1" t="s">
        <v>56</v>
      </c>
      <c r="B116" s="2">
        <v>0.13342503438789546</v>
      </c>
      <c r="C116" s="2">
        <v>0.22919042189281641</v>
      </c>
      <c r="D116" s="2">
        <v>0.24669603524229075</v>
      </c>
      <c r="E116" s="2">
        <v>0.26626549963530272</v>
      </c>
      <c r="G116" s="2">
        <v>8.288482238966631E-2</v>
      </c>
      <c r="H116" s="2">
        <v>0.22122302158273383</v>
      </c>
      <c r="I116" s="2">
        <v>0.1817391304347826</v>
      </c>
      <c r="J116" s="2">
        <v>0.2293314162473041</v>
      </c>
    </row>
    <row r="118" spans="1:10" ht="43.5" x14ac:dyDescent="0.35">
      <c r="A118" s="1" t="s">
        <v>69</v>
      </c>
    </row>
    <row r="119" spans="1:10" x14ac:dyDescent="0.35">
      <c r="B119" s="2" t="s">
        <v>65</v>
      </c>
      <c r="C119" s="2" t="s">
        <v>1</v>
      </c>
      <c r="D119" s="2" t="s">
        <v>2</v>
      </c>
      <c r="E119" s="2" t="s">
        <v>3</v>
      </c>
      <c r="G119" s="2" t="s">
        <v>4</v>
      </c>
      <c r="H119" s="2" t="s">
        <v>5</v>
      </c>
      <c r="I119" s="2" t="s">
        <v>6</v>
      </c>
      <c r="J119" s="2" t="s">
        <v>7</v>
      </c>
    </row>
    <row r="120" spans="1:10" x14ac:dyDescent="0.35">
      <c r="A120" s="1" t="s">
        <v>55</v>
      </c>
      <c r="B120" s="2">
        <v>0.86491262517180445</v>
      </c>
      <c r="C120" s="2">
        <v>0.83437856328392246</v>
      </c>
      <c r="D120" s="2">
        <v>0.85756240822320118</v>
      </c>
      <c r="E120" s="2">
        <v>0.79082321187584348</v>
      </c>
      <c r="G120" s="2">
        <v>0.90581270182992468</v>
      </c>
      <c r="H120" s="2">
        <v>0.84122228879568606</v>
      </c>
      <c r="I120" s="2">
        <v>0.8843478260869565</v>
      </c>
      <c r="J120" s="2">
        <v>0.81380301941049604</v>
      </c>
    </row>
    <row r="121" spans="1:10" x14ac:dyDescent="0.35">
      <c r="A121" s="1" t="s">
        <v>56</v>
      </c>
      <c r="B121" s="2">
        <v>0.13508737482819555</v>
      </c>
      <c r="C121" s="2">
        <v>0.16562143671607754</v>
      </c>
      <c r="D121" s="2">
        <v>0.14243759177679882</v>
      </c>
      <c r="E121" s="2">
        <v>0.20917678812415655</v>
      </c>
      <c r="G121" s="2">
        <v>9.4187298170075345E-2</v>
      </c>
      <c r="H121" s="2">
        <v>0.15877771120431397</v>
      </c>
      <c r="I121" s="2">
        <v>0.11565217391304349</v>
      </c>
      <c r="J121" s="2">
        <v>0.18619698058950396</v>
      </c>
    </row>
    <row r="123" spans="1:10" ht="43.5" x14ac:dyDescent="0.35">
      <c r="A123" s="1" t="s">
        <v>70</v>
      </c>
    </row>
    <row r="124" spans="1:10" x14ac:dyDescent="0.35">
      <c r="B124" s="2" t="s">
        <v>65</v>
      </c>
      <c r="C124" s="2" t="s">
        <v>1</v>
      </c>
      <c r="D124" s="2" t="s">
        <v>2</v>
      </c>
      <c r="E124" s="2" t="s">
        <v>3</v>
      </c>
      <c r="G124" s="2" t="s">
        <v>4</v>
      </c>
      <c r="H124" s="2" t="s">
        <v>5</v>
      </c>
      <c r="I124" s="2" t="s">
        <v>6</v>
      </c>
      <c r="J124" s="2" t="s">
        <v>7</v>
      </c>
    </row>
    <row r="125" spans="1:10" x14ac:dyDescent="0.35">
      <c r="A125" s="1" t="s">
        <v>55</v>
      </c>
      <c r="B125" s="2">
        <v>0.87610445709797757</v>
      </c>
      <c r="C125" s="2">
        <v>0.80530216647662489</v>
      </c>
      <c r="D125" s="2">
        <v>0.83994126284875181</v>
      </c>
      <c r="E125" s="2">
        <v>0.7405894368252115</v>
      </c>
      <c r="G125" s="2">
        <v>0.91496232508073194</v>
      </c>
      <c r="H125" s="2">
        <v>0.80359281437125751</v>
      </c>
      <c r="I125" s="2">
        <v>0.87641427328111399</v>
      </c>
      <c r="J125" s="2">
        <v>0.77574740878317661</v>
      </c>
    </row>
    <row r="126" spans="1:10" x14ac:dyDescent="0.35">
      <c r="A126" s="1" t="s">
        <v>56</v>
      </c>
      <c r="B126" s="2">
        <v>0.12389554290202238</v>
      </c>
      <c r="C126" s="2">
        <v>0.19469783352337514</v>
      </c>
      <c r="D126" s="2">
        <v>0.16005873715124816</v>
      </c>
      <c r="E126" s="2">
        <v>0.25941056317478844</v>
      </c>
      <c r="G126" s="2">
        <v>8.503767491926803E-2</v>
      </c>
      <c r="H126" s="2">
        <v>0.19640718562874251</v>
      </c>
      <c r="I126" s="2">
        <v>0.12358572671888599</v>
      </c>
      <c r="J126" s="2">
        <v>0.22425259121682345</v>
      </c>
    </row>
    <row r="128" spans="1:10" ht="43.5" x14ac:dyDescent="0.35">
      <c r="A128" s="1" t="s">
        <v>71</v>
      </c>
    </row>
    <row r="129" spans="1:10" x14ac:dyDescent="0.35">
      <c r="B129" s="2" t="s">
        <v>65</v>
      </c>
      <c r="C129" s="2" t="s">
        <v>1</v>
      </c>
      <c r="D129" s="2" t="s">
        <v>2</v>
      </c>
      <c r="E129" s="2" t="s">
        <v>3</v>
      </c>
      <c r="G129" s="2" t="s">
        <v>4</v>
      </c>
      <c r="H129" s="2" t="s">
        <v>5</v>
      </c>
      <c r="I129" s="2" t="s">
        <v>6</v>
      </c>
      <c r="J129" s="2" t="s">
        <v>7</v>
      </c>
    </row>
    <row r="130" spans="1:10" x14ac:dyDescent="0.35">
      <c r="A130" s="1" t="s">
        <v>55</v>
      </c>
      <c r="B130" s="2">
        <v>0.62045945415275872</v>
      </c>
      <c r="C130" s="2">
        <v>0.52949558278711883</v>
      </c>
      <c r="D130" s="2">
        <v>0.57415565345080766</v>
      </c>
      <c r="E130" s="2">
        <v>0.4087892049598833</v>
      </c>
      <c r="G130" s="2">
        <v>0.6910656620021528</v>
      </c>
      <c r="H130" s="2">
        <v>0.57305389221556891</v>
      </c>
      <c r="I130" s="2">
        <v>0.64751958224543082</v>
      </c>
      <c r="J130" s="2">
        <v>0.58846084716314184</v>
      </c>
    </row>
    <row r="131" spans="1:10" x14ac:dyDescent="0.35">
      <c r="A131" s="1" t="s">
        <v>56</v>
      </c>
      <c r="B131" s="2">
        <v>0.37954054584724128</v>
      </c>
      <c r="C131" s="2">
        <v>0.47050441721288117</v>
      </c>
      <c r="D131" s="2">
        <v>0.42584434654919234</v>
      </c>
      <c r="E131" s="2">
        <v>0.59121079504011675</v>
      </c>
      <c r="G131" s="2">
        <v>0.30893433799784714</v>
      </c>
      <c r="H131" s="2">
        <v>0.42694610778443115</v>
      </c>
      <c r="I131" s="2">
        <v>0.35248041775456918</v>
      </c>
      <c r="J131" s="2">
        <v>0.41153915283685821</v>
      </c>
    </row>
    <row r="133" spans="1:10" ht="29" x14ac:dyDescent="0.35">
      <c r="A133" s="1" t="s">
        <v>72</v>
      </c>
    </row>
    <row r="134" spans="1:10" x14ac:dyDescent="0.35">
      <c r="B134" s="2" t="s">
        <v>65</v>
      </c>
      <c r="C134" s="2" t="s">
        <v>1</v>
      </c>
      <c r="D134" s="2" t="s">
        <v>2</v>
      </c>
      <c r="E134" s="2" t="s">
        <v>3</v>
      </c>
      <c r="G134" s="2" t="s">
        <v>4</v>
      </c>
      <c r="H134" s="2" t="s">
        <v>5</v>
      </c>
      <c r="I134" s="2" t="s">
        <v>6</v>
      </c>
      <c r="J134" s="2" t="s">
        <v>7</v>
      </c>
    </row>
    <row r="135" spans="1:10" x14ac:dyDescent="0.35">
      <c r="A135" s="1" t="s">
        <v>55</v>
      </c>
      <c r="B135" s="2">
        <v>0.39713388299960739</v>
      </c>
      <c r="C135" s="2">
        <v>0.4554003989740667</v>
      </c>
      <c r="D135" s="2">
        <v>0.4023494860499266</v>
      </c>
      <c r="E135" s="2">
        <v>0.53105057798198596</v>
      </c>
      <c r="G135" s="2">
        <v>0.30533117932148629</v>
      </c>
      <c r="H135" s="2">
        <v>0.41916167664670656</v>
      </c>
      <c r="I135" s="2">
        <v>0.35304347826086957</v>
      </c>
      <c r="J135" s="2">
        <v>0.35053028941218767</v>
      </c>
    </row>
    <row r="136" spans="1:10" x14ac:dyDescent="0.35">
      <c r="A136" s="1" t="s">
        <v>56</v>
      </c>
      <c r="B136" s="2">
        <v>0.60286611700039261</v>
      </c>
      <c r="C136" s="2">
        <v>0.5445996010259333</v>
      </c>
      <c r="D136" s="2">
        <v>0.5976505139500734</v>
      </c>
      <c r="E136" s="2">
        <v>0.46894942201801409</v>
      </c>
      <c r="G136" s="2">
        <v>0.69466882067851377</v>
      </c>
      <c r="H136" s="2">
        <v>0.58083832335329344</v>
      </c>
      <c r="I136" s="2">
        <v>0.64695652173913043</v>
      </c>
      <c r="J136" s="2">
        <v>0.64946971058781233</v>
      </c>
    </row>
    <row r="138" spans="1:10" ht="15.5" x14ac:dyDescent="0.35">
      <c r="A138" s="9" t="s">
        <v>133</v>
      </c>
    </row>
    <row r="139" spans="1:10" x14ac:dyDescent="0.35">
      <c r="A139" s="5"/>
    </row>
    <row r="140" spans="1:10" ht="43.5" x14ac:dyDescent="0.35">
      <c r="A140" s="5" t="s">
        <v>124</v>
      </c>
    </row>
    <row r="142" spans="1:10" ht="43.5" x14ac:dyDescent="0.35">
      <c r="A142" s="1" t="s">
        <v>73</v>
      </c>
    </row>
    <row r="144" spans="1:10" x14ac:dyDescent="0.35">
      <c r="B144" s="2" t="s">
        <v>0</v>
      </c>
      <c r="C144" s="2" t="s">
        <v>51</v>
      </c>
      <c r="D144" s="2" t="s">
        <v>52</v>
      </c>
      <c r="E144" s="2" t="s">
        <v>53</v>
      </c>
      <c r="G144" s="2" t="s">
        <v>54</v>
      </c>
      <c r="H144" s="2" t="s">
        <v>5</v>
      </c>
      <c r="I144" s="2" t="s">
        <v>6</v>
      </c>
      <c r="J144" s="2" t="s">
        <v>7</v>
      </c>
    </row>
    <row r="145" spans="1:10" x14ac:dyDescent="0.35">
      <c r="A145" s="1" t="s">
        <v>55</v>
      </c>
      <c r="B145" s="2">
        <v>0.80707269155206285</v>
      </c>
      <c r="C145" s="2">
        <v>0.82416642918210314</v>
      </c>
      <c r="D145" s="2">
        <v>0.76651982378854622</v>
      </c>
      <c r="E145" s="2">
        <v>0.6566548666107076</v>
      </c>
      <c r="G145" s="2">
        <v>0.82964959568733154</v>
      </c>
      <c r="H145" s="2">
        <v>0.78297362110311752</v>
      </c>
      <c r="I145" s="2">
        <v>0.72584856396866837</v>
      </c>
      <c r="J145" s="2">
        <v>0.7294300952837538</v>
      </c>
    </row>
    <row r="146" spans="1:10" x14ac:dyDescent="0.35">
      <c r="A146" s="1" t="s">
        <v>56</v>
      </c>
      <c r="B146" s="2">
        <v>0.19292730844793712</v>
      </c>
      <c r="C146" s="2">
        <v>0.17583357081789683</v>
      </c>
      <c r="D146" s="2">
        <v>0.23348017621145375</v>
      </c>
      <c r="E146" s="2">
        <v>0.34334513338929235</v>
      </c>
      <c r="G146" s="2">
        <v>0.17035040431266846</v>
      </c>
      <c r="H146" s="2">
        <v>0.2170263788968825</v>
      </c>
      <c r="I146" s="2">
        <v>0.27415143603133157</v>
      </c>
      <c r="J146" s="2">
        <v>0.2705699047162462</v>
      </c>
    </row>
    <row r="149" spans="1:10" ht="29" x14ac:dyDescent="0.35">
      <c r="A149" s="1" t="s">
        <v>74</v>
      </c>
    </row>
    <row r="150" spans="1:10" x14ac:dyDescent="0.35">
      <c r="B150" s="2" t="s">
        <v>0</v>
      </c>
      <c r="C150" s="2" t="s">
        <v>51</v>
      </c>
      <c r="D150" s="2" t="s">
        <v>52</v>
      </c>
      <c r="E150" s="2" t="s">
        <v>53</v>
      </c>
      <c r="G150" s="2" t="s">
        <v>54</v>
      </c>
      <c r="H150" s="2" t="s">
        <v>5</v>
      </c>
      <c r="I150" s="2" t="s">
        <v>6</v>
      </c>
      <c r="J150" s="2" t="s">
        <v>7</v>
      </c>
    </row>
    <row r="151" spans="1:10" x14ac:dyDescent="0.35">
      <c r="A151" s="1" t="s">
        <v>55</v>
      </c>
      <c r="B151" s="2">
        <v>0.49361367655728039</v>
      </c>
      <c r="C151" s="2">
        <v>0.48974358974358972</v>
      </c>
      <c r="D151" s="2">
        <v>0.51248164464023493</v>
      </c>
      <c r="E151" s="2">
        <v>0.67813787320914298</v>
      </c>
      <c r="G151" s="2">
        <v>0.44749596122778673</v>
      </c>
      <c r="H151" s="2">
        <v>0.51618705035971224</v>
      </c>
      <c r="I151" s="2">
        <v>0.52613240418118468</v>
      </c>
      <c r="J151" s="2">
        <v>0.48897146967154159</v>
      </c>
    </row>
    <row r="152" spans="1:10" x14ac:dyDescent="0.35">
      <c r="A152" s="1" t="s">
        <v>56</v>
      </c>
      <c r="B152" s="2">
        <v>0.50638632344271961</v>
      </c>
      <c r="C152" s="2">
        <v>0.51025641025641022</v>
      </c>
      <c r="D152" s="2">
        <v>0.48751835535976507</v>
      </c>
      <c r="E152" s="2">
        <v>0.32113302468010646</v>
      </c>
      <c r="G152" s="2">
        <v>0.55250403877221321</v>
      </c>
      <c r="H152" s="2">
        <v>0.48381294964028776</v>
      </c>
      <c r="I152" s="2">
        <v>0.47386759581881532</v>
      </c>
      <c r="J152" s="2">
        <v>0.51102853032845841</v>
      </c>
    </row>
    <row r="154" spans="1:10" ht="58" x14ac:dyDescent="0.35">
      <c r="A154" s="1" t="s">
        <v>75</v>
      </c>
    </row>
    <row r="155" spans="1:10" x14ac:dyDescent="0.35">
      <c r="B155" s="2" t="s">
        <v>0</v>
      </c>
      <c r="C155" s="2" t="s">
        <v>51</v>
      </c>
      <c r="D155" s="2" t="s">
        <v>52</v>
      </c>
      <c r="E155" s="2" t="s">
        <v>53</v>
      </c>
      <c r="G155" s="2" t="s">
        <v>54</v>
      </c>
      <c r="H155" s="2" t="s">
        <v>5</v>
      </c>
      <c r="I155" s="2" t="s">
        <v>6</v>
      </c>
      <c r="J155" s="2" t="s">
        <v>7</v>
      </c>
    </row>
    <row r="156" spans="1:10" x14ac:dyDescent="0.35">
      <c r="A156" s="1" t="s">
        <v>55</v>
      </c>
      <c r="B156" s="2">
        <v>0.42133176193282262</v>
      </c>
      <c r="C156" s="2">
        <v>0.36288483466362598</v>
      </c>
      <c r="D156" s="2">
        <v>0.45080763582966227</v>
      </c>
      <c r="E156" s="2">
        <v>0.49476525735964688</v>
      </c>
      <c r="G156" s="2">
        <v>0.28425026968716288</v>
      </c>
      <c r="H156" s="2">
        <v>0.34472422062350122</v>
      </c>
      <c r="I156" s="2">
        <v>0.37020905923344949</v>
      </c>
      <c r="J156" s="2">
        <v>0.34182450251738195</v>
      </c>
    </row>
    <row r="157" spans="1:10" x14ac:dyDescent="0.35">
      <c r="A157" s="1" t="s">
        <v>56</v>
      </c>
      <c r="B157" s="2">
        <v>0.57866823806717738</v>
      </c>
      <c r="C157" s="2">
        <v>0.63711516533637402</v>
      </c>
      <c r="D157" s="2">
        <v>0.54919236417033779</v>
      </c>
      <c r="E157" s="2">
        <v>0.50523474264035306</v>
      </c>
      <c r="G157" s="2">
        <v>0.71574973031283706</v>
      </c>
      <c r="H157" s="2">
        <v>0.65527577937649883</v>
      </c>
      <c r="I157" s="2">
        <v>0.62979094076655051</v>
      </c>
      <c r="J157" s="2">
        <v>0.65817549748261805</v>
      </c>
    </row>
    <row r="159" spans="1:10" ht="43.5" x14ac:dyDescent="0.35">
      <c r="A159" s="1" t="s">
        <v>125</v>
      </c>
    </row>
    <row r="160" spans="1:10" x14ac:dyDescent="0.35">
      <c r="B160" s="2" t="s">
        <v>0</v>
      </c>
      <c r="C160" s="2" t="s">
        <v>51</v>
      </c>
      <c r="D160" s="2" t="s">
        <v>52</v>
      </c>
      <c r="E160" s="2" t="s">
        <v>53</v>
      </c>
      <c r="G160" s="2" t="s">
        <v>54</v>
      </c>
      <c r="H160" s="2" t="s">
        <v>5</v>
      </c>
      <c r="I160" s="2" t="s">
        <v>6</v>
      </c>
      <c r="J160" s="2" t="s">
        <v>7</v>
      </c>
    </row>
    <row r="161" spans="1:10" x14ac:dyDescent="0.35">
      <c r="A161" s="1" t="s">
        <v>55</v>
      </c>
      <c r="B161" s="2">
        <v>0.34401415372518185</v>
      </c>
      <c r="C161" s="2">
        <v>0.31984036488027368</v>
      </c>
      <c r="D161" s="2">
        <v>0.31130690161527164</v>
      </c>
      <c r="E161" s="2">
        <v>0.46504326238545507</v>
      </c>
      <c r="G161" s="2">
        <v>0.25134843581445521</v>
      </c>
      <c r="H161" s="2">
        <v>0.29179149191132414</v>
      </c>
      <c r="I161" s="2">
        <v>0.27067014795474326</v>
      </c>
      <c r="J161" s="2">
        <v>0.27465084217466884</v>
      </c>
    </row>
    <row r="162" spans="1:10" x14ac:dyDescent="0.35">
      <c r="A162" s="1" t="s">
        <v>56</v>
      </c>
      <c r="B162" s="2">
        <v>0.65598584627481815</v>
      </c>
      <c r="C162" s="2">
        <v>0.68015963511972632</v>
      </c>
      <c r="D162" s="2">
        <v>0.68869309838472836</v>
      </c>
      <c r="E162" s="2">
        <v>0.53495673761454487</v>
      </c>
      <c r="G162" s="2">
        <v>0.74865156418554479</v>
      </c>
      <c r="H162" s="2">
        <v>0.70820850808867586</v>
      </c>
      <c r="I162" s="2">
        <v>0.7293298520452568</v>
      </c>
      <c r="J162" s="2">
        <v>0.72534915782533116</v>
      </c>
    </row>
    <row r="164" spans="1:10" ht="43.5" x14ac:dyDescent="0.35">
      <c r="A164" s="1" t="s">
        <v>76</v>
      </c>
    </row>
    <row r="165" spans="1:10" x14ac:dyDescent="0.35">
      <c r="B165" s="2" t="s">
        <v>0</v>
      </c>
      <c r="C165" s="2" t="s">
        <v>51</v>
      </c>
      <c r="D165" s="2" t="s">
        <v>52</v>
      </c>
      <c r="E165" s="2" t="s">
        <v>53</v>
      </c>
      <c r="G165" s="2" t="s">
        <v>54</v>
      </c>
      <c r="H165" s="2" t="s">
        <v>5</v>
      </c>
      <c r="I165" s="2" t="s">
        <v>6</v>
      </c>
      <c r="J165" s="2" t="s">
        <v>7</v>
      </c>
    </row>
    <row r="166" spans="1:10" x14ac:dyDescent="0.35">
      <c r="A166" s="1" t="s">
        <v>55</v>
      </c>
      <c r="B166" s="2">
        <v>0.25761446256631954</v>
      </c>
      <c r="C166" s="2">
        <v>0.29418472063854045</v>
      </c>
      <c r="D166" s="2">
        <v>0.33431516936671574</v>
      </c>
      <c r="E166" s="2">
        <v>0.49638712502737026</v>
      </c>
      <c r="G166" s="2">
        <v>0.18015102481121897</v>
      </c>
      <c r="H166" s="2">
        <v>0.32335329341317365</v>
      </c>
      <c r="I166" s="2">
        <v>0.26370757180156656</v>
      </c>
      <c r="J166" s="2">
        <v>0.31987298544125575</v>
      </c>
    </row>
    <row r="167" spans="1:10" x14ac:dyDescent="0.35">
      <c r="A167" s="1" t="s">
        <v>56</v>
      </c>
      <c r="B167" s="2">
        <v>0.74238553743368052</v>
      </c>
      <c r="C167" s="2">
        <v>0.70581527936145949</v>
      </c>
      <c r="D167" s="2">
        <v>0.66568483063328421</v>
      </c>
      <c r="E167" s="2">
        <v>0.50361287497262974</v>
      </c>
      <c r="G167" s="2">
        <v>0.81984897518878097</v>
      </c>
      <c r="H167" s="2">
        <v>0.67664670658682635</v>
      </c>
      <c r="I167" s="2">
        <v>0.73629242819843344</v>
      </c>
      <c r="J167" s="2">
        <v>0.68012701455874425</v>
      </c>
    </row>
    <row r="169" spans="1:10" ht="15.5" x14ac:dyDescent="0.35">
      <c r="A169" s="9" t="s">
        <v>129</v>
      </c>
    </row>
    <row r="170" spans="1:10" x14ac:dyDescent="0.35">
      <c r="A170" s="5"/>
    </row>
    <row r="171" spans="1:10" s="8" customFormat="1" ht="29" x14ac:dyDescent="0.35">
      <c r="A171" s="5" t="s">
        <v>126</v>
      </c>
      <c r="B171" s="7"/>
      <c r="C171" s="7"/>
      <c r="D171" s="7"/>
      <c r="E171" s="7"/>
      <c r="F171" s="7"/>
      <c r="G171" s="7"/>
      <c r="H171" s="7"/>
      <c r="I171" s="7"/>
      <c r="J171" s="7"/>
    </row>
    <row r="173" spans="1:10" x14ac:dyDescent="0.35">
      <c r="A173" s="1" t="s">
        <v>77</v>
      </c>
    </row>
    <row r="174" spans="1:10" x14ac:dyDescent="0.35">
      <c r="B174" s="2" t="s">
        <v>0</v>
      </c>
      <c r="C174" s="2" t="s">
        <v>51</v>
      </c>
      <c r="D174" s="2" t="s">
        <v>52</v>
      </c>
      <c r="E174" s="2" t="s">
        <v>53</v>
      </c>
      <c r="G174" s="2" t="s">
        <v>54</v>
      </c>
      <c r="H174" s="2" t="s">
        <v>5</v>
      </c>
      <c r="I174" s="2" t="s">
        <v>6</v>
      </c>
      <c r="J174" s="2" t="s">
        <v>7</v>
      </c>
    </row>
    <row r="175" spans="1:10" x14ac:dyDescent="0.35">
      <c r="A175" s="1" t="s">
        <v>55</v>
      </c>
      <c r="B175" s="2">
        <v>0.72000785391714117</v>
      </c>
      <c r="C175" s="2">
        <v>0.63504273504273501</v>
      </c>
      <c r="D175" s="2">
        <v>0.66813509544787075</v>
      </c>
      <c r="E175" s="2">
        <v>0.54338948443083201</v>
      </c>
      <c r="G175" s="2">
        <v>0.78202368137782563</v>
      </c>
      <c r="H175" s="2">
        <v>0.66347305389221556</v>
      </c>
      <c r="I175" s="2">
        <v>0.73565217391304349</v>
      </c>
      <c r="J175" s="2">
        <v>0.65524266027561417</v>
      </c>
    </row>
    <row r="176" spans="1:10" x14ac:dyDescent="0.35">
      <c r="A176" s="1" t="s">
        <v>56</v>
      </c>
      <c r="B176" s="2">
        <v>0.27993718099725168</v>
      </c>
      <c r="C176" s="2">
        <v>0.36495726495726494</v>
      </c>
      <c r="D176" s="2">
        <v>0.33186490455212925</v>
      </c>
      <c r="E176" s="2">
        <v>0.45661051556916793</v>
      </c>
      <c r="G176" s="2">
        <v>0.21797631862217437</v>
      </c>
      <c r="H176" s="2">
        <v>0.33652694610778444</v>
      </c>
      <c r="I176" s="2">
        <v>0.26434782608695651</v>
      </c>
      <c r="J176" s="2">
        <v>0.34475733972438588</v>
      </c>
    </row>
    <row r="178" spans="1:10" ht="29" x14ac:dyDescent="0.35">
      <c r="A178" s="1" t="s">
        <v>78</v>
      </c>
    </row>
    <row r="179" spans="1:10" x14ac:dyDescent="0.35">
      <c r="B179" s="2" t="s">
        <v>65</v>
      </c>
      <c r="C179" s="2" t="s">
        <v>1</v>
      </c>
      <c r="D179" s="2" t="s">
        <v>2</v>
      </c>
      <c r="E179" s="2" t="s">
        <v>3</v>
      </c>
      <c r="G179" s="2" t="s">
        <v>54</v>
      </c>
      <c r="H179" s="2" t="s">
        <v>5</v>
      </c>
      <c r="I179" s="2" t="s">
        <v>6</v>
      </c>
      <c r="J179" s="2" t="s">
        <v>7</v>
      </c>
    </row>
    <row r="180" spans="1:10" x14ac:dyDescent="0.35">
      <c r="A180" s="1" t="s">
        <v>55</v>
      </c>
      <c r="B180" s="2">
        <v>0.47623723487824038</v>
      </c>
      <c r="C180" s="2">
        <v>0.49658119658119659</v>
      </c>
      <c r="D180" s="2">
        <v>0.48017621145374451</v>
      </c>
      <c r="E180" s="2">
        <v>0.47655338389731622</v>
      </c>
      <c r="G180" s="2">
        <v>0.35575888051668458</v>
      </c>
      <c r="H180" s="2">
        <v>0.41437125748502995</v>
      </c>
      <c r="I180" s="2">
        <v>0.40260869565217389</v>
      </c>
      <c r="J180" s="2">
        <v>0.31607645754688718</v>
      </c>
    </row>
    <row r="181" spans="1:10" x14ac:dyDescent="0.35">
      <c r="A181" s="1" t="s">
        <v>56</v>
      </c>
      <c r="B181" s="2">
        <v>0.52376276512175968</v>
      </c>
      <c r="C181" s="2">
        <v>0.50341880341880341</v>
      </c>
      <c r="D181" s="2">
        <v>0.51982378854625555</v>
      </c>
      <c r="E181" s="2">
        <v>0.52344661610268373</v>
      </c>
      <c r="G181" s="2">
        <v>0.64424111948331542</v>
      </c>
      <c r="H181" s="2">
        <v>0.5856287425149701</v>
      </c>
      <c r="I181" s="2">
        <v>0.59739130434782606</v>
      </c>
      <c r="J181" s="2">
        <v>0.68392354245311282</v>
      </c>
    </row>
    <row r="183" spans="1:10" x14ac:dyDescent="0.35">
      <c r="A183" s="1" t="s">
        <v>79</v>
      </c>
    </row>
    <row r="184" spans="1:10" x14ac:dyDescent="0.35">
      <c r="B184" s="2" t="s">
        <v>0</v>
      </c>
      <c r="C184" s="2" t="s">
        <v>1</v>
      </c>
      <c r="D184" s="2" t="s">
        <v>2</v>
      </c>
      <c r="E184" s="2" t="s">
        <v>3</v>
      </c>
      <c r="G184" s="2" t="s">
        <v>4</v>
      </c>
      <c r="H184" s="2" t="s">
        <v>5</v>
      </c>
      <c r="I184" s="2" t="s">
        <v>6</v>
      </c>
      <c r="J184" s="2" t="s">
        <v>7</v>
      </c>
    </row>
    <row r="185" spans="1:10" x14ac:dyDescent="0.35">
      <c r="A185" s="1" t="s">
        <v>55</v>
      </c>
      <c r="B185" s="2">
        <v>0.57482325216025143</v>
      </c>
      <c r="C185" s="2">
        <v>0.60102593331433452</v>
      </c>
      <c r="D185" s="2">
        <v>0.50954478707782669</v>
      </c>
      <c r="E185" s="2">
        <v>0.63637689614935822</v>
      </c>
      <c r="G185" s="2">
        <v>0.48546824542518802</v>
      </c>
      <c r="H185" s="2">
        <v>0.50239520958083828</v>
      </c>
      <c r="I185" s="2">
        <v>0.42</v>
      </c>
      <c r="J185" s="2">
        <v>0.43243243243243246</v>
      </c>
    </row>
    <row r="186" spans="1:10" x14ac:dyDescent="0.35">
      <c r="A186" s="1" t="s">
        <v>56</v>
      </c>
      <c r="B186" s="2">
        <v>0.42517674783974863</v>
      </c>
      <c r="C186" s="2">
        <v>0.39897406668566543</v>
      </c>
      <c r="D186" s="2">
        <v>0.49045521292217326</v>
      </c>
      <c r="E186" s="2">
        <v>0.36362310385064178</v>
      </c>
      <c r="G186" s="2">
        <v>0.5145317545748116</v>
      </c>
      <c r="H186" s="2">
        <v>0.49760479041916167</v>
      </c>
      <c r="I186" s="2">
        <v>0.57999999999999996</v>
      </c>
      <c r="J186" s="2">
        <v>0.56756756756756754</v>
      </c>
    </row>
    <row r="188" spans="1:10" ht="29" x14ac:dyDescent="0.35">
      <c r="A188" s="1" t="s">
        <v>80</v>
      </c>
    </row>
    <row r="189" spans="1:10" x14ac:dyDescent="0.35">
      <c r="B189" s="2" t="s">
        <v>0</v>
      </c>
      <c r="C189" s="2" t="s">
        <v>1</v>
      </c>
      <c r="D189" s="2" t="s">
        <v>2</v>
      </c>
      <c r="E189" s="2" t="s">
        <v>3</v>
      </c>
      <c r="G189" s="2" t="s">
        <v>4</v>
      </c>
      <c r="H189" s="2" t="s">
        <v>5</v>
      </c>
      <c r="I189" s="2" t="s">
        <v>6</v>
      </c>
      <c r="J189" s="2" t="s">
        <v>7</v>
      </c>
    </row>
    <row r="190" spans="1:10" x14ac:dyDescent="0.35">
      <c r="A190" s="1" t="s">
        <v>55</v>
      </c>
      <c r="B190" s="2">
        <v>0.33405341712490183</v>
      </c>
      <c r="C190" s="2">
        <v>0.36905101168424054</v>
      </c>
      <c r="D190" s="2">
        <v>0.3524229074889868</v>
      </c>
      <c r="E190" s="2">
        <v>0.4545056708362204</v>
      </c>
      <c r="G190" s="2">
        <v>0.2708669897684437</v>
      </c>
      <c r="H190" s="2">
        <v>0.36107784431137724</v>
      </c>
      <c r="I190" s="2">
        <v>0.27913043478260868</v>
      </c>
      <c r="J190" s="2">
        <v>0.34733121667764932</v>
      </c>
    </row>
    <row r="191" spans="1:10" x14ac:dyDescent="0.35">
      <c r="A191" s="1" t="s">
        <v>56</v>
      </c>
      <c r="B191" s="2">
        <v>0.66594658287509823</v>
      </c>
      <c r="C191" s="2">
        <v>0.63094898831575952</v>
      </c>
      <c r="D191" s="2">
        <v>0.64757709251101325</v>
      </c>
      <c r="E191" s="2">
        <v>0.5454943291637796</v>
      </c>
      <c r="G191" s="2">
        <v>0.7291330102315563</v>
      </c>
      <c r="H191" s="2">
        <v>0.63892215568862276</v>
      </c>
      <c r="I191" s="2">
        <v>0.72086956521739132</v>
      </c>
      <c r="J191" s="2">
        <v>0.65266878332235068</v>
      </c>
    </row>
    <row r="194" spans="1:10" ht="29" x14ac:dyDescent="0.35">
      <c r="A194" s="1" t="s">
        <v>81</v>
      </c>
    </row>
    <row r="195" spans="1:10" x14ac:dyDescent="0.35">
      <c r="B195" s="2" t="s">
        <v>0</v>
      </c>
      <c r="C195" s="2" t="s">
        <v>1</v>
      </c>
      <c r="D195" s="2" t="s">
        <v>2</v>
      </c>
      <c r="E195" s="2" t="s">
        <v>3</v>
      </c>
      <c r="G195" s="2" t="s">
        <v>4</v>
      </c>
      <c r="H195" s="2" t="s">
        <v>5</v>
      </c>
      <c r="I195" s="2" t="s">
        <v>6</v>
      </c>
      <c r="J195" s="2" t="s">
        <v>7</v>
      </c>
    </row>
    <row r="196" spans="1:10" x14ac:dyDescent="0.35">
      <c r="A196" s="1" t="s">
        <v>55</v>
      </c>
      <c r="B196" s="2">
        <v>0.34695481335952849</v>
      </c>
      <c r="C196" s="2">
        <v>0.39868908520946139</v>
      </c>
      <c r="D196" s="2">
        <v>0.3891336270190896</v>
      </c>
      <c r="E196" s="2">
        <v>0.48005542186246625</v>
      </c>
      <c r="G196" s="2">
        <v>0.26856835306781485</v>
      </c>
      <c r="H196" s="2">
        <v>0.3718562874251497</v>
      </c>
      <c r="I196" s="2">
        <v>0.29478260869565215</v>
      </c>
      <c r="J196" s="2">
        <v>0.35588041459469177</v>
      </c>
    </row>
    <row r="197" spans="1:10" x14ac:dyDescent="0.35">
      <c r="A197" s="1" t="s">
        <v>56</v>
      </c>
      <c r="B197" s="2">
        <v>0.65304518664047151</v>
      </c>
      <c r="C197" s="2">
        <v>0.60131091479053866</v>
      </c>
      <c r="D197" s="2">
        <v>0.6108663729809104</v>
      </c>
      <c r="E197" s="2">
        <v>0.5199445781375337</v>
      </c>
      <c r="G197" s="2">
        <v>0.7314316469321851</v>
      </c>
      <c r="H197" s="2">
        <v>0.62814371257485035</v>
      </c>
      <c r="I197" s="2">
        <v>0.7052173913043478</v>
      </c>
      <c r="J197" s="2">
        <v>0.64411958540530823</v>
      </c>
    </row>
    <row r="199" spans="1:10" x14ac:dyDescent="0.35">
      <c r="A199" s="1" t="s">
        <v>82</v>
      </c>
    </row>
    <row r="200" spans="1:10" x14ac:dyDescent="0.35">
      <c r="B200" s="2" t="s">
        <v>0</v>
      </c>
      <c r="C200" s="2" t="s">
        <v>1</v>
      </c>
      <c r="D200" s="2" t="s">
        <v>2</v>
      </c>
      <c r="E200" s="2" t="s">
        <v>3</v>
      </c>
      <c r="G200" s="2" t="s">
        <v>4</v>
      </c>
      <c r="H200" s="2" t="s">
        <v>5</v>
      </c>
      <c r="I200" s="2" t="s">
        <v>6</v>
      </c>
      <c r="J200" s="2" t="s">
        <v>7</v>
      </c>
    </row>
    <row r="201" spans="1:10" x14ac:dyDescent="0.35">
      <c r="A201" s="1" t="s">
        <v>55</v>
      </c>
      <c r="B201" s="2">
        <v>0.2115082482325216</v>
      </c>
      <c r="C201" s="2">
        <v>0.20182440136830102</v>
      </c>
      <c r="D201" s="2">
        <v>0.19530102790014683</v>
      </c>
      <c r="E201" s="2">
        <v>0.17758406885987307</v>
      </c>
      <c r="G201" s="2">
        <v>0.1286329386437029</v>
      </c>
      <c r="H201" s="2">
        <v>0.15029940119760479</v>
      </c>
      <c r="I201" s="2">
        <v>0.12347826086956522</v>
      </c>
      <c r="J201" s="2">
        <v>0.11288872910300198</v>
      </c>
    </row>
    <row r="202" spans="1:10" x14ac:dyDescent="0.35">
      <c r="A202" s="1" t="s">
        <v>56</v>
      </c>
      <c r="B202" s="2">
        <v>0.78849175176747843</v>
      </c>
      <c r="C202" s="2">
        <v>0.79817559863169896</v>
      </c>
      <c r="D202" s="2">
        <v>0.80469897209985319</v>
      </c>
      <c r="E202" s="2">
        <v>0.8224159311401269</v>
      </c>
      <c r="G202" s="2">
        <v>0.87136706135629705</v>
      </c>
      <c r="H202" s="2">
        <v>0.84970059880239523</v>
      </c>
      <c r="I202" s="2">
        <v>0.87652173913043474</v>
      </c>
      <c r="J202" s="2">
        <v>0.88711127089699804</v>
      </c>
    </row>
    <row r="205" spans="1:10" ht="29" x14ac:dyDescent="0.35">
      <c r="A205" s="1" t="s">
        <v>83</v>
      </c>
    </row>
    <row r="206" spans="1:10" x14ac:dyDescent="0.35">
      <c r="B206" s="2" t="s">
        <v>0</v>
      </c>
      <c r="C206" s="2" t="s">
        <v>1</v>
      </c>
      <c r="D206" s="2" t="s">
        <v>2</v>
      </c>
      <c r="E206" s="2" t="s">
        <v>3</v>
      </c>
      <c r="G206" s="2" t="s">
        <v>4</v>
      </c>
      <c r="H206" s="2" t="s">
        <v>5</v>
      </c>
      <c r="I206" s="2" t="s">
        <v>6</v>
      </c>
      <c r="J206" s="2" t="s">
        <v>7</v>
      </c>
    </row>
    <row r="207" spans="1:10" x14ac:dyDescent="0.35">
      <c r="A207" s="1" t="s">
        <v>55</v>
      </c>
      <c r="B207" s="2">
        <v>0.40326065605971323</v>
      </c>
      <c r="C207" s="2">
        <v>0.38860398860398859</v>
      </c>
      <c r="D207" s="2">
        <v>0.40588235294117647</v>
      </c>
      <c r="E207" s="2">
        <v>0.39494511105437835</v>
      </c>
      <c r="G207" s="2">
        <v>0.37358490566037733</v>
      </c>
      <c r="H207" s="2">
        <v>0.39401197604790417</v>
      </c>
      <c r="I207" s="2">
        <v>0.4</v>
      </c>
      <c r="J207" s="2">
        <v>0.39717162032598274</v>
      </c>
    </row>
    <row r="208" spans="1:10" x14ac:dyDescent="0.35">
      <c r="A208" s="1" t="s">
        <v>56</v>
      </c>
      <c r="B208" s="2">
        <v>0.59673934394028683</v>
      </c>
      <c r="C208" s="2">
        <v>0.61139601139601141</v>
      </c>
      <c r="D208" s="2">
        <v>0.59411764705882353</v>
      </c>
      <c r="E208" s="2">
        <v>0.60505488894562165</v>
      </c>
      <c r="G208" s="2">
        <v>0.62641509433962261</v>
      </c>
      <c r="H208" s="2">
        <v>0.60598802395209583</v>
      </c>
      <c r="I208" s="2">
        <v>0.6</v>
      </c>
      <c r="J208" s="2">
        <v>0.60282837967401726</v>
      </c>
    </row>
    <row r="211" spans="1:10" ht="15.5" x14ac:dyDescent="0.35">
      <c r="A211" s="9" t="s">
        <v>84</v>
      </c>
    </row>
    <row r="213" spans="1:10" ht="43.5" x14ac:dyDescent="0.35">
      <c r="A213" s="5" t="s">
        <v>127</v>
      </c>
    </row>
    <row r="215" spans="1:10" ht="87" x14ac:dyDescent="0.35">
      <c r="A215" s="1" t="s">
        <v>85</v>
      </c>
      <c r="F215" s="3"/>
    </row>
    <row r="216" spans="1:10" x14ac:dyDescent="0.35">
      <c r="A216" s="6"/>
      <c r="B216" s="2" t="s">
        <v>0</v>
      </c>
      <c r="C216" s="2" t="s">
        <v>51</v>
      </c>
      <c r="D216" s="2" t="s">
        <v>52</v>
      </c>
      <c r="E216" s="2" t="s">
        <v>53</v>
      </c>
      <c r="F216" s="3"/>
      <c r="G216" s="2" t="s">
        <v>54</v>
      </c>
      <c r="H216" s="2" t="s">
        <v>5</v>
      </c>
      <c r="I216" s="2" t="s">
        <v>6</v>
      </c>
      <c r="J216" s="2" t="s">
        <v>7</v>
      </c>
    </row>
    <row r="217" spans="1:10" x14ac:dyDescent="0.35">
      <c r="A217" s="6" t="s">
        <v>55</v>
      </c>
      <c r="B217" s="2">
        <v>0.83992911990549324</v>
      </c>
      <c r="C217" s="2">
        <v>0.86142001710863991</v>
      </c>
      <c r="D217" s="2">
        <v>0.89837997054491903</v>
      </c>
      <c r="E217" s="2">
        <v>0.90276711627736961</v>
      </c>
      <c r="F217" s="3"/>
      <c r="G217" s="2">
        <v>0.89482200647249188</v>
      </c>
      <c r="H217" s="2">
        <v>0.91971240263630916</v>
      </c>
      <c r="I217" s="2">
        <v>0.92341166231505656</v>
      </c>
      <c r="J217" s="2">
        <v>0.91873575626724246</v>
      </c>
    </row>
    <row r="218" spans="1:10" x14ac:dyDescent="0.35">
      <c r="A218" s="6" t="s">
        <v>56</v>
      </c>
      <c r="B218" s="2">
        <v>0.16007088009450679</v>
      </c>
      <c r="C218" s="2">
        <v>0.13857998289136014</v>
      </c>
      <c r="D218" s="2">
        <v>0.101620029455081</v>
      </c>
      <c r="E218" s="2">
        <v>9.7232883722630406E-2</v>
      </c>
      <c r="F218" s="3"/>
      <c r="G218" s="2">
        <v>0.10517799352750809</v>
      </c>
      <c r="H218" s="2">
        <v>8.028759736369083E-2</v>
      </c>
      <c r="I218" s="2">
        <v>7.6588337684943428E-2</v>
      </c>
      <c r="J218" s="2">
        <v>8.1264243732757591E-2</v>
      </c>
    </row>
    <row r="219" spans="1:10" x14ac:dyDescent="0.35">
      <c r="A219" s="6"/>
      <c r="F219" s="3"/>
    </row>
    <row r="220" spans="1:10" ht="29" x14ac:dyDescent="0.35">
      <c r="A220" s="1" t="s">
        <v>86</v>
      </c>
      <c r="F220" s="3"/>
    </row>
    <row r="221" spans="1:10" x14ac:dyDescent="0.35">
      <c r="A221" s="6"/>
      <c r="B221" s="2" t="s">
        <v>0</v>
      </c>
      <c r="C221" s="2" t="s">
        <v>51</v>
      </c>
      <c r="D221" s="2" t="s">
        <v>52</v>
      </c>
      <c r="E221" s="2" t="s">
        <v>53</v>
      </c>
      <c r="F221" s="3"/>
      <c r="G221" s="2" t="s">
        <v>54</v>
      </c>
      <c r="H221" s="2" t="s">
        <v>5</v>
      </c>
      <c r="I221" s="2" t="s">
        <v>6</v>
      </c>
      <c r="J221" s="2" t="s">
        <v>7</v>
      </c>
    </row>
    <row r="222" spans="1:10" x14ac:dyDescent="0.35">
      <c r="A222" s="6" t="s">
        <v>55</v>
      </c>
      <c r="B222" s="2">
        <v>0.76921564772950657</v>
      </c>
      <c r="C222" s="2">
        <v>0.733162100456621</v>
      </c>
      <c r="D222" s="2">
        <v>0.71764705882352942</v>
      </c>
      <c r="E222" s="2">
        <v>0.57815126050420174</v>
      </c>
      <c r="F222" s="3"/>
      <c r="G222" s="2">
        <v>0.70280474649406688</v>
      </c>
      <c r="H222" s="2">
        <v>0.64289994008388252</v>
      </c>
      <c r="I222" s="2">
        <v>0.70060922541340298</v>
      </c>
      <c r="J222" s="2">
        <v>0.57134285371414861</v>
      </c>
    </row>
    <row r="223" spans="1:10" x14ac:dyDescent="0.35">
      <c r="A223" s="6" t="s">
        <v>56</v>
      </c>
      <c r="B223" s="2">
        <v>0.2307843522704934</v>
      </c>
      <c r="C223" s="2">
        <v>0.266837899543379</v>
      </c>
      <c r="D223" s="2">
        <v>0.28235294117647058</v>
      </c>
      <c r="E223" s="2">
        <v>0.42184873949579832</v>
      </c>
      <c r="F223" s="3"/>
      <c r="G223" s="2">
        <v>0.29719525350593312</v>
      </c>
      <c r="H223" s="2">
        <v>0.35710005991611743</v>
      </c>
      <c r="I223" s="2">
        <v>0.29939077458659702</v>
      </c>
      <c r="J223" s="2">
        <v>0.42865714628585144</v>
      </c>
    </row>
    <row r="224" spans="1:10" x14ac:dyDescent="0.35">
      <c r="A224" s="6"/>
      <c r="F224" s="3"/>
    </row>
    <row r="225" spans="1:10" x14ac:dyDescent="0.35">
      <c r="A225" s="1" t="s">
        <v>87</v>
      </c>
      <c r="F225" s="3"/>
    </row>
    <row r="226" spans="1:10" x14ac:dyDescent="0.35">
      <c r="A226" s="6"/>
      <c r="B226" s="2" t="s">
        <v>0</v>
      </c>
      <c r="C226" s="2" t="s">
        <v>51</v>
      </c>
      <c r="D226" s="2" t="s">
        <v>52</v>
      </c>
      <c r="E226" s="2" t="s">
        <v>53</v>
      </c>
      <c r="F226" s="3"/>
      <c r="G226" s="2" t="s">
        <v>54</v>
      </c>
      <c r="H226" s="2" t="s">
        <v>5</v>
      </c>
      <c r="I226" s="2" t="s">
        <v>6</v>
      </c>
      <c r="J226" s="2" t="s">
        <v>7</v>
      </c>
    </row>
    <row r="227" spans="1:10" x14ac:dyDescent="0.35">
      <c r="A227" s="6" t="s">
        <v>55</v>
      </c>
      <c r="B227" s="2">
        <v>0.33818611056462716</v>
      </c>
      <c r="C227" s="2">
        <v>0.4247787610619469</v>
      </c>
      <c r="D227" s="2">
        <v>0.43612334801762115</v>
      </c>
      <c r="E227" s="2">
        <v>0.48901400212042556</v>
      </c>
      <c r="F227" s="3"/>
      <c r="G227" s="2">
        <v>0.17980561555075594</v>
      </c>
      <c r="H227" s="2">
        <v>0.34811264230077893</v>
      </c>
      <c r="I227" s="2">
        <v>0.30601569311246729</v>
      </c>
      <c r="J227" s="2">
        <v>0.32507498500299942</v>
      </c>
    </row>
    <row r="228" spans="1:10" x14ac:dyDescent="0.35">
      <c r="A228" s="6" t="s">
        <v>56</v>
      </c>
      <c r="B228" s="2">
        <v>0.66181388943537278</v>
      </c>
      <c r="C228" s="2">
        <v>0.5752212389380531</v>
      </c>
      <c r="D228" s="2">
        <v>0.56387665198237891</v>
      </c>
      <c r="E228" s="2">
        <v>0.51098599787957444</v>
      </c>
      <c r="F228" s="3"/>
      <c r="G228" s="2">
        <v>0.82019438444924408</v>
      </c>
      <c r="H228" s="2">
        <v>0.65188735769922113</v>
      </c>
      <c r="I228" s="2">
        <v>0.69398430688753265</v>
      </c>
      <c r="J228" s="2">
        <v>0.67492501499700064</v>
      </c>
    </row>
    <row r="229" spans="1:10" x14ac:dyDescent="0.35">
      <c r="A229" s="6"/>
      <c r="F229" s="3"/>
    </row>
    <row r="230" spans="1:10" ht="43.5" x14ac:dyDescent="0.35">
      <c r="A230" s="1" t="s">
        <v>88</v>
      </c>
      <c r="F230" s="3"/>
    </row>
    <row r="231" spans="1:10" x14ac:dyDescent="0.35">
      <c r="A231" s="6"/>
      <c r="B231" s="2" t="s">
        <v>0</v>
      </c>
      <c r="C231" s="2" t="s">
        <v>51</v>
      </c>
      <c r="D231" s="2" t="s">
        <v>52</v>
      </c>
      <c r="E231" s="2" t="s">
        <v>53</v>
      </c>
      <c r="F231" s="3"/>
      <c r="G231" s="2" t="s">
        <v>54</v>
      </c>
      <c r="H231" s="2" t="s">
        <v>5</v>
      </c>
      <c r="I231" s="2" t="s">
        <v>6</v>
      </c>
      <c r="J231" s="2" t="s">
        <v>7</v>
      </c>
    </row>
    <row r="232" spans="1:10" x14ac:dyDescent="0.35">
      <c r="A232" s="6" t="s">
        <v>55</v>
      </c>
      <c r="B232" s="2">
        <v>0.57920597484276726</v>
      </c>
      <c r="C232" s="2">
        <v>0.45763195435092724</v>
      </c>
      <c r="D232" s="2">
        <v>0.49411764705882355</v>
      </c>
      <c r="E232" s="2">
        <v>0.32360355094436122</v>
      </c>
      <c r="F232" s="3"/>
      <c r="G232" s="2">
        <v>0.62729234088457386</v>
      </c>
      <c r="H232" s="2">
        <v>0.49041916167664673</v>
      </c>
      <c r="I232" s="2">
        <v>0.59285091543156054</v>
      </c>
      <c r="J232" s="2">
        <v>0.47753314535964964</v>
      </c>
    </row>
    <row r="233" spans="1:10" x14ac:dyDescent="0.35">
      <c r="A233" s="6" t="s">
        <v>56</v>
      </c>
      <c r="B233" s="2">
        <v>0.42079402515723269</v>
      </c>
      <c r="C233" s="2">
        <v>0.54236804564907271</v>
      </c>
      <c r="D233" s="2">
        <v>0.50588235294117645</v>
      </c>
      <c r="E233" s="2">
        <v>0.67639644905563878</v>
      </c>
      <c r="F233" s="3"/>
      <c r="G233" s="2">
        <v>0.37270765911542608</v>
      </c>
      <c r="H233" s="2">
        <v>0.50958083832335332</v>
      </c>
      <c r="I233" s="2">
        <v>0.4071490845684394</v>
      </c>
      <c r="J233" s="2">
        <v>0.52246685464035036</v>
      </c>
    </row>
    <row r="234" spans="1:10" x14ac:dyDescent="0.35">
      <c r="A234" s="6"/>
      <c r="F234" s="3"/>
    </row>
    <row r="235" spans="1:10" ht="29" x14ac:dyDescent="0.35">
      <c r="A235" s="1" t="s">
        <v>89</v>
      </c>
      <c r="F235" s="3"/>
    </row>
    <row r="236" spans="1:10" x14ac:dyDescent="0.35">
      <c r="A236" s="6"/>
      <c r="B236" s="2" t="s">
        <v>0</v>
      </c>
      <c r="C236" s="2" t="s">
        <v>51</v>
      </c>
      <c r="D236" s="2" t="s">
        <v>52</v>
      </c>
      <c r="E236" s="2" t="s">
        <v>53</v>
      </c>
      <c r="F236" s="3"/>
      <c r="G236" s="2" t="s">
        <v>54</v>
      </c>
      <c r="H236" s="2" t="s">
        <v>5</v>
      </c>
      <c r="I236" s="2" t="s">
        <v>6</v>
      </c>
      <c r="J236" s="2" t="s">
        <v>7</v>
      </c>
    </row>
    <row r="237" spans="1:10" x14ac:dyDescent="0.35">
      <c r="A237" s="6" t="s">
        <v>55</v>
      </c>
      <c r="B237" s="2">
        <v>0.5338050314465409</v>
      </c>
      <c r="C237" s="2">
        <v>0.658675799086758</v>
      </c>
      <c r="D237" s="2">
        <v>0.70882352941176474</v>
      </c>
      <c r="E237" s="2">
        <v>0.65418067533986257</v>
      </c>
      <c r="F237" s="3"/>
      <c r="G237" s="2">
        <v>0.61459459459459465</v>
      </c>
      <c r="H237" s="2">
        <v>0.76932294787297784</v>
      </c>
      <c r="I237" s="2">
        <v>0.78814298169136876</v>
      </c>
      <c r="J237" s="2">
        <v>0.7921415716856629</v>
      </c>
    </row>
    <row r="238" spans="1:10" x14ac:dyDescent="0.35">
      <c r="A238" s="6" t="s">
        <v>56</v>
      </c>
      <c r="B238" s="2">
        <v>0.4661949685534591</v>
      </c>
      <c r="C238" s="2">
        <v>0.341324200913242</v>
      </c>
      <c r="D238" s="2">
        <v>0.29117647058823531</v>
      </c>
      <c r="E238" s="2">
        <v>0.34581932466013743</v>
      </c>
      <c r="F238" s="3"/>
      <c r="G238" s="2">
        <v>0.38540540540540541</v>
      </c>
      <c r="H238" s="2">
        <v>0.23067705212702216</v>
      </c>
      <c r="I238" s="2">
        <v>0.21185701830863121</v>
      </c>
      <c r="J238" s="2">
        <v>0.20785842831433712</v>
      </c>
    </row>
    <row r="239" spans="1:10" x14ac:dyDescent="0.35">
      <c r="A239" s="6"/>
      <c r="F239" s="3"/>
    </row>
    <row r="240" spans="1:10" ht="15.5" x14ac:dyDescent="0.35">
      <c r="A240" s="9" t="s">
        <v>130</v>
      </c>
    </row>
    <row r="242" spans="1:10" ht="43.5" x14ac:dyDescent="0.35">
      <c r="A242" s="5" t="s">
        <v>121</v>
      </c>
    </row>
    <row r="243" spans="1:10" x14ac:dyDescent="0.35">
      <c r="A243" s="5"/>
    </row>
    <row r="244" spans="1:10" ht="43.5" x14ac:dyDescent="0.35">
      <c r="A244" s="1" t="s">
        <v>90</v>
      </c>
      <c r="F244" s="3"/>
    </row>
    <row r="245" spans="1:10" x14ac:dyDescent="0.35">
      <c r="A245" s="6"/>
      <c r="B245" s="2" t="s">
        <v>0</v>
      </c>
      <c r="C245" s="2" t="s">
        <v>51</v>
      </c>
      <c r="D245" s="2" t="s">
        <v>52</v>
      </c>
      <c r="E245" s="2" t="s">
        <v>53</v>
      </c>
      <c r="F245" s="3"/>
      <c r="G245" s="2" t="s">
        <v>54</v>
      </c>
      <c r="H245" s="2" t="s">
        <v>5</v>
      </c>
      <c r="I245" s="2" t="s">
        <v>6</v>
      </c>
      <c r="J245" s="2" t="s">
        <v>7</v>
      </c>
    </row>
    <row r="246" spans="1:10" x14ac:dyDescent="0.35">
      <c r="A246" s="6" t="s">
        <v>55</v>
      </c>
      <c r="B246" s="2">
        <v>0.81592920353982301</v>
      </c>
      <c r="C246" s="2">
        <v>0.79720479178551051</v>
      </c>
      <c r="D246" s="2">
        <v>0.82378854625550657</v>
      </c>
      <c r="E246" s="2">
        <v>0.74862231305426807</v>
      </c>
      <c r="F246" s="3"/>
      <c r="G246" s="2">
        <v>0.87547169811320757</v>
      </c>
      <c r="H246" s="2">
        <v>0.80803839232153574</v>
      </c>
      <c r="I246" s="2">
        <v>0.87652173913043474</v>
      </c>
      <c r="J246" s="2">
        <v>0.8038217323589314</v>
      </c>
    </row>
    <row r="247" spans="1:10" x14ac:dyDescent="0.35">
      <c r="A247" s="6" t="s">
        <v>56</v>
      </c>
      <c r="B247" s="2">
        <v>0.18407079646017699</v>
      </c>
      <c r="C247" s="2">
        <v>0.20279520821448946</v>
      </c>
      <c r="D247" s="2">
        <v>0.1762114537444934</v>
      </c>
      <c r="E247" s="2">
        <v>0.25137768694573193</v>
      </c>
      <c r="F247" s="3"/>
      <c r="G247" s="2">
        <v>0.12452830188679245</v>
      </c>
      <c r="H247" s="2">
        <v>0.19196160767846432</v>
      </c>
      <c r="I247" s="2">
        <v>0.12347826086956522</v>
      </c>
      <c r="J247" s="2">
        <v>0.19617826764106866</v>
      </c>
    </row>
    <row r="248" spans="1:10" x14ac:dyDescent="0.35">
      <c r="A248" s="5"/>
    </row>
    <row r="249" spans="1:10" x14ac:dyDescent="0.35">
      <c r="A249" s="1" t="s">
        <v>91</v>
      </c>
      <c r="F249" s="3"/>
    </row>
    <row r="250" spans="1:10" x14ac:dyDescent="0.35">
      <c r="A250" s="6"/>
      <c r="B250" s="2" t="s">
        <v>0</v>
      </c>
      <c r="C250" s="2" t="s">
        <v>51</v>
      </c>
      <c r="D250" s="2" t="s">
        <v>52</v>
      </c>
      <c r="E250" s="2" t="s">
        <v>53</v>
      </c>
      <c r="F250" s="3"/>
      <c r="G250" s="2" t="s">
        <v>54</v>
      </c>
      <c r="H250" s="2" t="s">
        <v>5</v>
      </c>
      <c r="I250" s="2" t="s">
        <v>6</v>
      </c>
      <c r="J250" s="2" t="s">
        <v>7</v>
      </c>
    </row>
    <row r="251" spans="1:10" x14ac:dyDescent="0.35">
      <c r="A251" s="6" t="s">
        <v>55</v>
      </c>
      <c r="B251" s="2">
        <v>0.90169091624066067</v>
      </c>
      <c r="C251" s="2">
        <v>0.79851809632373894</v>
      </c>
      <c r="D251" s="2">
        <v>0.79735682819383258</v>
      </c>
      <c r="E251" s="2">
        <v>0.63498084989968995</v>
      </c>
      <c r="F251" s="3"/>
      <c r="G251" s="2">
        <v>0.88469827586206895</v>
      </c>
      <c r="H251" s="2">
        <v>0.74400479616306958</v>
      </c>
      <c r="I251" s="2">
        <v>0.77913043478260868</v>
      </c>
      <c r="J251" s="2">
        <v>0.65003294794225119</v>
      </c>
    </row>
    <row r="252" spans="1:10" x14ac:dyDescent="0.35">
      <c r="A252" s="6" t="s">
        <v>56</v>
      </c>
      <c r="B252" s="2">
        <v>9.8309083759339361E-2</v>
      </c>
      <c r="C252" s="2">
        <v>0.20148190367626104</v>
      </c>
      <c r="D252" s="2">
        <v>0.20264317180616739</v>
      </c>
      <c r="E252" s="2">
        <v>0.36501915010031005</v>
      </c>
      <c r="F252" s="3"/>
      <c r="G252" s="2">
        <v>0.11530172413793104</v>
      </c>
      <c r="H252" s="2">
        <v>0.25599520383693047</v>
      </c>
      <c r="I252" s="2">
        <v>0.22086956521739132</v>
      </c>
      <c r="J252" s="2">
        <v>0.34996705205774875</v>
      </c>
    </row>
    <row r="254" spans="1:10" ht="29" x14ac:dyDescent="0.35">
      <c r="A254" s="1" t="s">
        <v>119</v>
      </c>
    </row>
    <row r="255" spans="1:10" x14ac:dyDescent="0.35">
      <c r="B255" s="2" t="s">
        <v>0</v>
      </c>
      <c r="C255" s="2" t="s">
        <v>51</v>
      </c>
      <c r="D255" s="2" t="s">
        <v>52</v>
      </c>
      <c r="E255" s="2" t="s">
        <v>53</v>
      </c>
      <c r="G255" s="2" t="s">
        <v>54</v>
      </c>
      <c r="H255" s="2" t="s">
        <v>5</v>
      </c>
      <c r="I255" s="2" t="s">
        <v>6</v>
      </c>
      <c r="J255" s="2" t="s">
        <v>7</v>
      </c>
    </row>
    <row r="256" spans="1:10" x14ac:dyDescent="0.35">
      <c r="A256" s="1" t="s">
        <v>55</v>
      </c>
      <c r="B256" s="2">
        <v>0.92221346987002761</v>
      </c>
      <c r="C256" s="2">
        <v>0.90421892816419613</v>
      </c>
      <c r="D256" s="2">
        <v>0.90455212922173278</v>
      </c>
      <c r="E256" s="2">
        <v>0.91430656934306564</v>
      </c>
      <c r="G256" s="2">
        <v>0.94234913793103448</v>
      </c>
      <c r="H256" s="2">
        <v>0.90107913669064743</v>
      </c>
      <c r="I256" s="2">
        <v>0.91818973020017403</v>
      </c>
      <c r="J256" s="2">
        <v>0.89068025172310461</v>
      </c>
    </row>
    <row r="257" spans="1:10" x14ac:dyDescent="0.35">
      <c r="A257" s="1" t="s">
        <v>56</v>
      </c>
      <c r="B257" s="2">
        <v>7.7786530129972428E-2</v>
      </c>
      <c r="C257" s="2">
        <v>9.578107183580388E-2</v>
      </c>
      <c r="D257" s="2">
        <v>9.544787077826726E-2</v>
      </c>
      <c r="E257" s="2">
        <v>8.5693430656934313E-2</v>
      </c>
      <c r="G257" s="2">
        <v>5.7650862068965518E-2</v>
      </c>
      <c r="H257" s="2">
        <v>9.8920863309352514E-2</v>
      </c>
      <c r="I257" s="2">
        <v>8.1810269799825933E-2</v>
      </c>
      <c r="J257" s="2">
        <v>0.10931974827689542</v>
      </c>
    </row>
    <row r="259" spans="1:10" ht="29" x14ac:dyDescent="0.35">
      <c r="A259" s="5" t="s">
        <v>120</v>
      </c>
    </row>
    <row r="261" spans="1:10" ht="43.5" x14ac:dyDescent="0.35">
      <c r="A261" s="1" t="s">
        <v>50</v>
      </c>
    </row>
    <row r="262" spans="1:10" x14ac:dyDescent="0.35">
      <c r="B262" s="2" t="s">
        <v>0</v>
      </c>
      <c r="C262" s="2" t="s">
        <v>51</v>
      </c>
      <c r="D262" s="2" t="s">
        <v>52</v>
      </c>
      <c r="E262" s="2" t="s">
        <v>53</v>
      </c>
      <c r="G262" s="2" t="s">
        <v>54</v>
      </c>
      <c r="H262" s="2" t="s">
        <v>5</v>
      </c>
      <c r="I262" s="2" t="s">
        <v>6</v>
      </c>
      <c r="J262" s="2" t="s">
        <v>7</v>
      </c>
    </row>
    <row r="263" spans="1:10" x14ac:dyDescent="0.35">
      <c r="A263" s="1" t="s">
        <v>55</v>
      </c>
      <c r="B263" s="2">
        <v>0.57275786972876663</v>
      </c>
      <c r="C263" s="2">
        <v>0.64029807967899111</v>
      </c>
      <c r="D263" s="2">
        <v>0.60326894502228823</v>
      </c>
      <c r="E263" s="2">
        <v>0.67289240459972166</v>
      </c>
      <c r="G263" s="2">
        <v>0.58373983739837398</v>
      </c>
      <c r="H263" s="2">
        <v>0.60480480480480481</v>
      </c>
      <c r="I263" s="2">
        <v>0.5744125326370757</v>
      </c>
      <c r="J263" s="2">
        <v>0.53032033175070614</v>
      </c>
    </row>
    <row r="264" spans="1:10" x14ac:dyDescent="0.35">
      <c r="A264" s="1" t="s">
        <v>56</v>
      </c>
      <c r="B264" s="2">
        <v>0.42724213027123342</v>
      </c>
      <c r="C264" s="2">
        <v>0.35970192032100889</v>
      </c>
      <c r="D264" s="2">
        <v>0.39673105497771172</v>
      </c>
      <c r="E264" s="2">
        <v>0.32710759540027834</v>
      </c>
      <c r="G264" s="2">
        <v>0.41626016260162602</v>
      </c>
      <c r="H264" s="2">
        <v>0.39519519519519519</v>
      </c>
      <c r="I264" s="2">
        <v>0.4255874673629243</v>
      </c>
      <c r="J264" s="2">
        <v>0.4696796682492938</v>
      </c>
    </row>
    <row r="266" spans="1:10" ht="29" x14ac:dyDescent="0.35">
      <c r="A266" s="10" t="s">
        <v>128</v>
      </c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35">
      <c r="A267" s="6"/>
      <c r="B267" s="2" t="s">
        <v>0</v>
      </c>
      <c r="C267" s="2" t="s">
        <v>51</v>
      </c>
      <c r="D267" s="2" t="s">
        <v>52</v>
      </c>
      <c r="E267" s="2" t="s">
        <v>53</v>
      </c>
      <c r="F267" s="3"/>
      <c r="G267" s="2" t="s">
        <v>54</v>
      </c>
      <c r="H267" s="2" t="s">
        <v>5</v>
      </c>
      <c r="I267" s="2" t="s">
        <v>6</v>
      </c>
      <c r="J267" s="2" t="s">
        <v>7</v>
      </c>
    </row>
    <row r="268" spans="1:10" x14ac:dyDescent="0.35">
      <c r="A268" s="6" t="s">
        <v>92</v>
      </c>
      <c r="B268" s="4">
        <f>809/5090</f>
        <v>0.15893909626719058</v>
      </c>
      <c r="C268" s="4">
        <f>357/3507</f>
        <v>0.10179640718562874</v>
      </c>
      <c r="D268" s="4">
        <f>47/680</f>
        <v>6.9117647058823534E-2</v>
      </c>
      <c r="E268" s="4">
        <f>1888/27422</f>
        <v>6.8849828604769889E-2</v>
      </c>
      <c r="F268" s="4"/>
      <c r="G268" s="4">
        <f>66/1858</f>
        <v>3.5522066738428421E-2</v>
      </c>
      <c r="H268" s="4">
        <f>33/1670</f>
        <v>1.9760479041916169E-2</v>
      </c>
      <c r="I268" s="4">
        <f>22/1149</f>
        <v>1.9147084421235857E-2</v>
      </c>
      <c r="J268" s="4">
        <f>209/16697</f>
        <v>1.2517218662035097E-2</v>
      </c>
    </row>
    <row r="269" spans="1:10" x14ac:dyDescent="0.35">
      <c r="A269" s="6" t="s">
        <v>93</v>
      </c>
      <c r="B269" s="4">
        <f>701/5090</f>
        <v>0.13772102161100197</v>
      </c>
      <c r="C269" s="4">
        <f>362/3507</f>
        <v>0.10322212717422298</v>
      </c>
      <c r="D269" s="4">
        <f>45/680</f>
        <v>6.6176470588235295E-2</v>
      </c>
      <c r="E269" s="4">
        <f>2745/27422</f>
        <v>0.10010210779665962</v>
      </c>
      <c r="F269" s="4"/>
      <c r="G269" s="4">
        <f>81/1858</f>
        <v>4.3595263724434875E-2</v>
      </c>
      <c r="H269" s="4">
        <f>49/1670</f>
        <v>2.9341317365269463E-2</v>
      </c>
      <c r="I269" s="4">
        <f>25/1149</f>
        <v>2.1758050478677109E-2</v>
      </c>
      <c r="J269" s="4">
        <f>426/16697</f>
        <v>2.5513565311133735E-2</v>
      </c>
    </row>
    <row r="270" spans="1:10" x14ac:dyDescent="0.35">
      <c r="A270" s="6" t="s">
        <v>94</v>
      </c>
      <c r="B270" s="4">
        <f>717/5090</f>
        <v>0.14086444007858545</v>
      </c>
      <c r="C270" s="4">
        <f>504/3507</f>
        <v>0.1437125748502994</v>
      </c>
      <c r="D270" s="4">
        <f>71/680</f>
        <v>0.10441176470588236</v>
      </c>
      <c r="E270" s="4">
        <f>3352/27422</f>
        <v>0.12223761942965503</v>
      </c>
      <c r="F270" s="4"/>
      <c r="G270" s="4">
        <f>117/1858</f>
        <v>6.2970936490850379E-2</v>
      </c>
      <c r="H270" s="4">
        <f>83/1670</f>
        <v>4.9700598802395211E-2</v>
      </c>
      <c r="I270" s="4">
        <f>47/1149</f>
        <v>4.0905134899912966E-2</v>
      </c>
      <c r="J270" s="4">
        <f>705/16697</f>
        <v>4.2223153859974848E-2</v>
      </c>
    </row>
    <row r="271" spans="1:10" x14ac:dyDescent="0.35">
      <c r="A271" s="6" t="s">
        <v>95</v>
      </c>
      <c r="B271" s="4">
        <f>590/5090</f>
        <v>0.11591355599214145</v>
      </c>
      <c r="C271" s="4">
        <f>410/3507</f>
        <v>0.11690903906472769</v>
      </c>
      <c r="D271" s="4">
        <f>74/680</f>
        <v>0.10882352941176471</v>
      </c>
      <c r="E271" s="4">
        <f>3165/27422</f>
        <v>0.11541827729560207</v>
      </c>
      <c r="F271" s="4"/>
      <c r="G271" s="4">
        <f>170/1858</f>
        <v>9.1496232508073191E-2</v>
      </c>
      <c r="H271" s="4">
        <f>110/1670</f>
        <v>6.5868263473053898E-2</v>
      </c>
      <c r="I271" s="4">
        <f>61/1149</f>
        <v>5.3089643167972149E-2</v>
      </c>
      <c r="J271" s="4">
        <f>890/16697</f>
        <v>5.330298856081931E-2</v>
      </c>
    </row>
    <row r="272" spans="1:10" x14ac:dyDescent="0.35">
      <c r="A272" s="6" t="s">
        <v>96</v>
      </c>
      <c r="B272" s="4">
        <f>460/5090</f>
        <v>9.0373280943025547E-2</v>
      </c>
      <c r="C272" s="4">
        <f>331/3507</f>
        <v>9.43826632449387E-2</v>
      </c>
      <c r="D272" s="4">
        <f>61/680</f>
        <v>8.9705882352941177E-2</v>
      </c>
      <c r="E272" s="4">
        <f>2574/27422</f>
        <v>9.38662387863759E-2</v>
      </c>
      <c r="F272" s="4"/>
      <c r="G272" s="4">
        <f>150/1858</f>
        <v>8.073196986006459E-2</v>
      </c>
      <c r="H272" s="4">
        <f>123/1670</f>
        <v>7.3652694610778446E-2</v>
      </c>
      <c r="I272" s="4">
        <f>81/1149</f>
        <v>7.0496083550913843E-2</v>
      </c>
      <c r="J272" s="4">
        <f>1057/16697</f>
        <v>6.3304785290770799E-2</v>
      </c>
    </row>
    <row r="273" spans="1:10" x14ac:dyDescent="0.35">
      <c r="A273" s="6" t="s">
        <v>97</v>
      </c>
      <c r="B273" s="4">
        <f>405/5090</f>
        <v>7.9567779960707269E-2</v>
      </c>
      <c r="C273" s="4">
        <f>274/3507</f>
        <v>7.8129455374964352E-2</v>
      </c>
      <c r="D273" s="4">
        <f>66/680</f>
        <v>9.7058823529411767E-2</v>
      </c>
      <c r="E273" s="4">
        <f>2344/27422</f>
        <v>8.5478812632193132E-2</v>
      </c>
      <c r="F273" s="4"/>
      <c r="G273" s="4">
        <f>181/1858</f>
        <v>9.7416576964477933E-2</v>
      </c>
      <c r="H273" s="4">
        <f>130/1670</f>
        <v>7.7844311377245512E-2</v>
      </c>
      <c r="I273" s="4">
        <f>83/1149</f>
        <v>7.2236727589208002E-2</v>
      </c>
      <c r="J273" s="4">
        <f>1217/16697</f>
        <v>7.2887345032041681E-2</v>
      </c>
    </row>
    <row r="274" spans="1:10" x14ac:dyDescent="0.35">
      <c r="A274" s="6" t="s">
        <v>98</v>
      </c>
      <c r="B274" s="4">
        <f>209/5090</f>
        <v>4.1060903732809427E-2</v>
      </c>
      <c r="C274" s="4">
        <f>185/3507</f>
        <v>5.2751639577986884E-2</v>
      </c>
      <c r="D274" s="4">
        <f>35/680</f>
        <v>5.1470588235294115E-2</v>
      </c>
      <c r="E274" s="4">
        <f>1751/27422</f>
        <v>6.3853839982495803E-2</v>
      </c>
      <c r="F274" s="4"/>
      <c r="G274" s="4">
        <f>126/1858</f>
        <v>6.7814854682454254E-2</v>
      </c>
      <c r="H274" s="4">
        <f>120/1670</f>
        <v>7.1856287425149698E-2</v>
      </c>
      <c r="I274" s="4">
        <f>68/1149</f>
        <v>5.918189730200174E-2</v>
      </c>
      <c r="J274" s="4">
        <f>1113/16697</f>
        <v>6.6658681200215605E-2</v>
      </c>
    </row>
    <row r="275" spans="1:10" x14ac:dyDescent="0.35">
      <c r="A275" s="6" t="s">
        <v>99</v>
      </c>
      <c r="B275" s="4">
        <f>213/5090</f>
        <v>4.1846758349705304E-2</v>
      </c>
      <c r="C275" s="4">
        <f>212/3507</f>
        <v>6.0450527516395777E-2</v>
      </c>
      <c r="D275" s="4">
        <f>42/680</f>
        <v>6.1764705882352944E-2</v>
      </c>
      <c r="E275" s="4">
        <f>1833/27422</f>
        <v>6.6844139741813149E-2</v>
      </c>
      <c r="F275" s="4"/>
      <c r="G275" s="4">
        <f>185/1858</f>
        <v>9.9569429494079653E-2</v>
      </c>
      <c r="H275" s="4">
        <f>133/1670</f>
        <v>7.9640718562874246E-2</v>
      </c>
      <c r="I275" s="4">
        <f>89/1149</f>
        <v>7.7458659704090507E-2</v>
      </c>
      <c r="J275" s="4">
        <f>1443/16697</f>
        <v>8.6422710666586813E-2</v>
      </c>
    </row>
    <row r="276" spans="1:10" x14ac:dyDescent="0.35">
      <c r="A276" s="6" t="s">
        <v>100</v>
      </c>
      <c r="B276" s="4">
        <f>193/5090</f>
        <v>3.7917485265225932E-2</v>
      </c>
      <c r="C276" s="4">
        <f>198/3507</f>
        <v>5.6458511548331911E-2</v>
      </c>
      <c r="D276" s="4">
        <f>45/680</f>
        <v>6.6176470588235295E-2</v>
      </c>
      <c r="E276" s="4">
        <f>1908/27422</f>
        <v>6.9579170009481439E-2</v>
      </c>
      <c r="F276" s="4"/>
      <c r="G276" s="4">
        <f>195/1858</f>
        <v>0.10495156081808396</v>
      </c>
      <c r="H276" s="4">
        <f>195/1670</f>
        <v>0.11676646706586827</v>
      </c>
      <c r="I276" s="4">
        <f>141/1149</f>
        <v>0.12271540469973891</v>
      </c>
      <c r="J276" s="4">
        <f>1928/16697</f>
        <v>0.11546984488231418</v>
      </c>
    </row>
    <row r="277" spans="1:10" x14ac:dyDescent="0.35">
      <c r="A277" s="6" t="s">
        <v>101</v>
      </c>
      <c r="B277" s="4">
        <f>106/5090</f>
        <v>2.0825147347740668E-2</v>
      </c>
      <c r="C277" s="4">
        <v>3.7924151696606788E-4</v>
      </c>
      <c r="D277" s="4">
        <f>41/680</f>
        <v>6.0294117647058824E-2</v>
      </c>
      <c r="E277" s="4">
        <f>1181/27422</f>
        <v>4.3067609948216762E-2</v>
      </c>
      <c r="F277" s="4"/>
      <c r="G277" s="4">
        <f>129/1858</f>
        <v>6.942949407965554E-2</v>
      </c>
      <c r="H277" s="4">
        <f>143/1670</f>
        <v>8.562874251497006E-2</v>
      </c>
      <c r="I277" s="4">
        <f>105/1149</f>
        <v>9.1383812010443863E-2</v>
      </c>
      <c r="J277" s="4">
        <f>1703/16697</f>
        <v>0.101994370246152</v>
      </c>
    </row>
    <row r="278" spans="1:10" x14ac:dyDescent="0.35">
      <c r="A278" s="6" t="s">
        <v>102</v>
      </c>
      <c r="B278" s="4">
        <f>77/5090</f>
        <v>1.512770137524558E-2</v>
      </c>
      <c r="C278" s="4">
        <v>2.9940119760479042E-4</v>
      </c>
      <c r="D278" s="4">
        <f>32/680</f>
        <v>4.7058823529411764E-2</v>
      </c>
      <c r="E278" s="4">
        <f>1014/27422</f>
        <v>3.6977609218875357E-2</v>
      </c>
      <c r="F278" s="4"/>
      <c r="G278" s="4">
        <f>126/1858</f>
        <v>6.7814854682454254E-2</v>
      </c>
      <c r="H278" s="4">
        <f>176/1670</f>
        <v>0.10538922155688622</v>
      </c>
      <c r="I278" s="4">
        <f>115/1149</f>
        <v>0.10008703220191471</v>
      </c>
      <c r="J278" s="4">
        <f>1770/16697</f>
        <v>0.10600706713780919</v>
      </c>
    </row>
    <row r="279" spans="1:10" x14ac:dyDescent="0.35">
      <c r="A279" s="6" t="s">
        <v>103</v>
      </c>
      <c r="B279" s="4">
        <f>63/5090</f>
        <v>1.237721021611002E-2</v>
      </c>
      <c r="C279" s="4">
        <v>1.7964071856287425E-4</v>
      </c>
      <c r="D279" s="4">
        <f>13/680</f>
        <v>1.9117647058823531E-2</v>
      </c>
      <c r="E279" s="4">
        <f>576/27422</f>
        <v>2.1005032455692511E-2</v>
      </c>
      <c r="F279" s="4"/>
      <c r="G279" s="4">
        <f>117/1858</f>
        <v>6.2970936490850379E-2</v>
      </c>
      <c r="H279" s="4">
        <f>130/1670</f>
        <v>7.7844311377245512E-2</v>
      </c>
      <c r="I279" s="4">
        <f>82/1149</f>
        <v>7.1366405570060923E-2</v>
      </c>
      <c r="J279" s="4">
        <f>1353/16697</f>
        <v>8.1032520812121936E-2</v>
      </c>
    </row>
    <row r="280" spans="1:10" x14ac:dyDescent="0.35">
      <c r="A280" s="6" t="s">
        <v>104</v>
      </c>
      <c r="B280" s="4">
        <f>15/5090</f>
        <v>2.9469548133595285E-3</v>
      </c>
      <c r="C280" s="4">
        <f>18/3507</f>
        <v>5.1325919589392645E-3</v>
      </c>
      <c r="D280" s="4">
        <f>7/680</f>
        <v>1.0294117647058823E-2</v>
      </c>
      <c r="E280" s="4">
        <f>197/27422</f>
        <v>7.1840128364087227E-3</v>
      </c>
      <c r="F280" s="4"/>
      <c r="G280" s="4">
        <f>38/1858</f>
        <v>2.0452099031216361E-2</v>
      </c>
      <c r="H280" s="4">
        <f>61/1670</f>
        <v>3.6526946107784432E-2</v>
      </c>
      <c r="I280" s="4">
        <f>40/1149</f>
        <v>3.4812880765883375E-2</v>
      </c>
      <c r="J280" s="4">
        <f>623/16697</f>
        <v>3.7312091992573515E-2</v>
      </c>
    </row>
    <row r="281" spans="1:10" x14ac:dyDescent="0.35">
      <c r="A281" s="6" t="s">
        <v>105</v>
      </c>
      <c r="B281" s="4">
        <f>13/5090</f>
        <v>2.5540275049115912E-3</v>
      </c>
      <c r="C281" s="4">
        <f>10/3507</f>
        <v>2.8514399771884802E-3</v>
      </c>
      <c r="D281" s="4">
        <f>6/680</f>
        <v>8.8235294117647058E-3</v>
      </c>
      <c r="E281" s="4">
        <f>88/27422</f>
        <v>3.2091021807308003E-3</v>
      </c>
      <c r="F281" s="4"/>
      <c r="G281" s="4">
        <f>27/1858</f>
        <v>1.4531754574811625E-2</v>
      </c>
      <c r="H281" s="4">
        <f>23/1670</f>
        <v>1.3772455089820359E-2</v>
      </c>
      <c r="I281" s="4">
        <f>29/1149</f>
        <v>2.5239338555265448E-2</v>
      </c>
      <c r="J281" s="4">
        <f>349/16697</f>
        <v>2.0901958435647121E-2</v>
      </c>
    </row>
    <row r="282" spans="1:10" x14ac:dyDescent="0.35">
      <c r="A282" s="6" t="s">
        <v>106</v>
      </c>
      <c r="B282" s="4">
        <f>3/5090</f>
        <v>5.893909626719057E-4</v>
      </c>
      <c r="C282" s="4">
        <f>5/3507</f>
        <v>1.4257199885942401E-3</v>
      </c>
      <c r="D282" s="4">
        <f>1/680</f>
        <v>1.4705882352941176E-3</v>
      </c>
      <c r="E282" s="4">
        <f>53/27422</f>
        <v>1.9327547224855955E-3</v>
      </c>
      <c r="F282" s="4"/>
      <c r="G282" s="4">
        <f>8/1858</f>
        <v>4.3057050592034442E-3</v>
      </c>
      <c r="H282" s="4">
        <f>7/1670</f>
        <v>4.1916167664670656E-3</v>
      </c>
      <c r="I282" s="4">
        <f>12/1149</f>
        <v>1.0443864229765013E-2</v>
      </c>
      <c r="J282" s="4">
        <f>153/16697</f>
        <v>9.163322752590285E-3</v>
      </c>
    </row>
    <row r="283" spans="1:10" x14ac:dyDescent="0.35">
      <c r="A283" s="6" t="s">
        <v>107</v>
      </c>
      <c r="B283" s="4">
        <f>17/5090</f>
        <v>3.3398821218074658E-3</v>
      </c>
      <c r="C283" s="4">
        <f>4/3507</f>
        <v>1.1405759908753922E-3</v>
      </c>
      <c r="D283" s="4">
        <f>4/680</f>
        <v>5.8823529411764705E-3</v>
      </c>
      <c r="E283" s="4">
        <f>57/27422</f>
        <v>2.0786230034279046E-3</v>
      </c>
      <c r="F283" s="4"/>
      <c r="G283" s="4">
        <f>16/1858</f>
        <v>8.6114101184068884E-3</v>
      </c>
      <c r="H283" s="4">
        <f>17/1670</f>
        <v>1.0179640718562874E-2</v>
      </c>
      <c r="I283" s="4">
        <f>10/1149</f>
        <v>8.7032201914708437E-3</v>
      </c>
      <c r="J283" s="4">
        <f>156/16697</f>
        <v>9.3429957477391152E-3</v>
      </c>
    </row>
    <row r="284" spans="1:10" x14ac:dyDescent="0.35">
      <c r="A284" s="6" t="s">
        <v>108</v>
      </c>
      <c r="B284" s="4">
        <f>499/5090</f>
        <v>9.8035363457760316E-2</v>
      </c>
      <c r="C284" s="4">
        <f>336/3507</f>
        <v>9.580838323353294E-2</v>
      </c>
      <c r="D284" s="4">
        <f>90/680</f>
        <v>0.13235294117647059</v>
      </c>
      <c r="E284" s="4">
        <f>2696/27422</f>
        <v>9.8315221355116333E-2</v>
      </c>
      <c r="F284" s="4"/>
      <c r="G284" s="4">
        <f>126/1858</f>
        <v>6.7814854682454254E-2</v>
      </c>
      <c r="H284" s="4">
        <f>137/1670</f>
        <v>8.2035928143712578E-2</v>
      </c>
      <c r="I284" s="4">
        <f>139/1149</f>
        <v>0.12097476066144473</v>
      </c>
      <c r="J284" s="4">
        <f>1602/16697</f>
        <v>9.5945379409474757E-2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 Astrow</dc:creator>
  <cp:lastModifiedBy>Aliza Astrow</cp:lastModifiedBy>
  <dcterms:created xsi:type="dcterms:W3CDTF">2021-10-19T19:59:03Z</dcterms:created>
  <dcterms:modified xsi:type="dcterms:W3CDTF">2022-01-19T21:37:34Z</dcterms:modified>
</cp:coreProperties>
</file>